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EstaPastaDeTrabalho" defaultThemeVersion="166925"/>
  <mc:AlternateContent xmlns:mc="http://schemas.openxmlformats.org/markup-compatibility/2006">
    <mc:Choice Requires="x15">
      <x15ac:absPath xmlns:x15ac="http://schemas.microsoft.com/office/spreadsheetml/2010/11/ac" url="https://logbitbr.sharepoint.com/sites/E2ECoolers/Shared Documents/General/E2E Latam - 2022/Diagnóstico/Diagnóstico Inicial/1.Brasil/Andina BR/"/>
    </mc:Choice>
  </mc:AlternateContent>
  <xr:revisionPtr revIDLastSave="3794" documentId="8_{440884D3-5D50-405A-B3E2-67975F421C44}" xr6:coauthVersionLast="47" xr6:coauthVersionMax="47" xr10:uidLastSave="{19DDE9C0-E7FE-4830-AB1B-062AC9DB255D}"/>
  <workbookProtection workbookAlgorithmName="SHA-512" workbookHashValue="FxotgQTvDxfV7TdSCTxtb1BQnYM07HOSj2jJzIViaqJNjqX2iUALwRte+YghNwVmlzoKj6zPcc5BggUdA1ob3A==" workbookSaltValue="j+kegLAiZz0jdEQgUXBj9Q==" workbookSpinCount="100000" lockStructure="1"/>
  <bookViews>
    <workbookView xWindow="-120" yWindow="-120" windowWidth="20730" windowHeight="11160" tabRatio="365" activeTab="4" xr2:uid="{E8755B14-EE01-4BE6-BED2-53B07B38246A}"/>
  </bookViews>
  <sheets>
    <sheet name="Menu" sheetId="1" r:id="rId1"/>
    <sheet name="Analisis Items" sheetId="28" r:id="rId2"/>
    <sheet name="Calculos" sheetId="22" state="hidden" r:id="rId3"/>
    <sheet name="Cierre Diagnóstico" sheetId="99" state="hidden" r:id="rId4"/>
    <sheet name="Resumen Items" sheetId="98" r:id="rId5"/>
    <sheet name="Instruciones" sheetId="30" r:id="rId6"/>
    <sheet name="Exemplo ITEM" sheetId="19" r:id="rId7"/>
    <sheet name="Estratégia" sheetId="16" r:id="rId8"/>
    <sheet name="Adquisición" sheetId="24" r:id="rId9"/>
    <sheet name="Control" sheetId="25" r:id="rId10"/>
    <sheet name="Mercado" sheetId="65" r:id="rId11"/>
    <sheet name="Mantenimiento" sheetId="66" r:id="rId12"/>
    <sheet name="Descarte" sheetId="67" r:id="rId13"/>
    <sheet name="Estrategia 1" sheetId="31" r:id="rId14"/>
    <sheet name="Estrategia 2" sheetId="34" r:id="rId15"/>
    <sheet name="Estrategia 3" sheetId="35" r:id="rId16"/>
    <sheet name="Estrategia 4" sheetId="36" r:id="rId17"/>
    <sheet name="Estrategia 5" sheetId="37" r:id="rId18"/>
    <sheet name="Estrategia 6" sheetId="38" r:id="rId19"/>
    <sheet name="Estrategia 7" sheetId="39" r:id="rId20"/>
    <sheet name="Estrategia 8" sheetId="40" r:id="rId21"/>
    <sheet name="Estrategia 9" sheetId="41" r:id="rId22"/>
    <sheet name="Estrategia 10" sheetId="42" r:id="rId23"/>
    <sheet name="Estrategia 11" sheetId="43" r:id="rId24"/>
    <sheet name="Estrategia 12" sheetId="44" r:id="rId25"/>
    <sheet name="Estrategia 13" sheetId="45" r:id="rId26"/>
    <sheet name="Estrategia 14" sheetId="46" r:id="rId27"/>
    <sheet name="Estrategia 15" sheetId="47" r:id="rId28"/>
    <sheet name="Estrategia 16" sheetId="48" r:id="rId29"/>
    <sheet name="Adquisición 1" sheetId="32" r:id="rId30"/>
    <sheet name="Adquisición 2" sheetId="49" r:id="rId31"/>
    <sheet name="Adquisición 3" sheetId="50" r:id="rId32"/>
    <sheet name="Adquisición 4" sheetId="51" r:id="rId33"/>
    <sheet name="Adquisición 5" sheetId="52" r:id="rId34"/>
    <sheet name="Control 1" sheetId="33" r:id="rId35"/>
    <sheet name="Control 2" sheetId="53" r:id="rId36"/>
    <sheet name="Control 3" sheetId="54" r:id="rId37"/>
    <sheet name="Control 4" sheetId="55" r:id="rId38"/>
    <sheet name="Control 5" sheetId="56" r:id="rId39"/>
    <sheet name="Control 6" sheetId="57" r:id="rId40"/>
    <sheet name="Control 7" sheetId="58" r:id="rId41"/>
    <sheet name="Control 8" sheetId="59" r:id="rId42"/>
    <sheet name="Control 9" sheetId="60" r:id="rId43"/>
    <sheet name="Control 10" sheetId="61" r:id="rId44"/>
    <sheet name="Control 11" sheetId="62" r:id="rId45"/>
    <sheet name="Control 12" sheetId="63" r:id="rId46"/>
    <sheet name="Control 13" sheetId="64" r:id="rId47"/>
    <sheet name="Mercado 1" sheetId="68" r:id="rId48"/>
    <sheet name="Mercado 2" sheetId="69" r:id="rId49"/>
    <sheet name="Mercado 3" sheetId="70" r:id="rId50"/>
    <sheet name="Mercado 4" sheetId="71" r:id="rId51"/>
    <sheet name="Mercado 5" sheetId="72" r:id="rId52"/>
    <sheet name="Mercado 6" sheetId="73" r:id="rId53"/>
    <sheet name="Mercado 7" sheetId="74" r:id="rId54"/>
    <sheet name="Mercado 8" sheetId="75" r:id="rId55"/>
    <sheet name="Mercado 9" sheetId="76" r:id="rId56"/>
    <sheet name="Mercado 10" sheetId="77" r:id="rId57"/>
    <sheet name="Mercado 11" sheetId="78" r:id="rId58"/>
    <sheet name="Mercado 12" sheetId="79" r:id="rId59"/>
    <sheet name="Mercado 13" sheetId="80" r:id="rId60"/>
    <sheet name="Mercado 14" sheetId="81" r:id="rId61"/>
    <sheet name="Mercado 15" sheetId="82" r:id="rId62"/>
    <sheet name="Mantenimiento 1" sheetId="83" r:id="rId63"/>
    <sheet name="Mantenimiento 2" sheetId="84" r:id="rId64"/>
    <sheet name="Mantenimiento 3" sheetId="85" r:id="rId65"/>
    <sheet name="Mantenimiento 4" sheetId="86" r:id="rId66"/>
    <sheet name="Mantenimiento 5" sheetId="87" r:id="rId67"/>
    <sheet name="Mantenimiento 6" sheetId="88" r:id="rId68"/>
    <sheet name="Mantenimiento 7" sheetId="89" r:id="rId69"/>
    <sheet name="Mantenimiento 8" sheetId="90" r:id="rId70"/>
    <sheet name="Mantenimiento 9" sheetId="91" r:id="rId71"/>
    <sheet name="Mantenimiento 10" sheetId="92" r:id="rId72"/>
    <sheet name="Descarte 1" sheetId="93" r:id="rId73"/>
    <sheet name="Descarte 2" sheetId="95" r:id="rId74"/>
    <sheet name="Descarte 3" sheetId="94" r:id="rId75"/>
    <sheet name="Descarte 4" sheetId="96" r:id="rId76"/>
    <sheet name="Descarte 5" sheetId="97" r:id="rId77"/>
  </sheets>
  <definedNames>
    <definedName name="_xlnm._FilterDatabase" localSheetId="8" hidden="1">Adquisición!$B$9:$AG$9</definedName>
    <definedName name="_xlnm._FilterDatabase" localSheetId="9" hidden="1">Control!$B$9:$AG$9</definedName>
    <definedName name="_xlnm._FilterDatabase" localSheetId="12" hidden="1">Descarte!$B$9:$AG$9</definedName>
    <definedName name="_xlnm._FilterDatabase" localSheetId="7" hidden="1">Estratégia!$B$9:$AG$9</definedName>
    <definedName name="_xlnm._FilterDatabase" localSheetId="11" hidden="1">Mantenimiento!$B$9:$AG$9</definedName>
    <definedName name="_xlnm._FilterDatabase" localSheetId="10" hidden="1">Mercado!$B$9:$AG$9</definedName>
    <definedName name="_xlnm._FilterDatabase" localSheetId="4" hidden="1">'Resumen Items'!$A$9:$AO$73</definedName>
    <definedName name="BaseDados" localSheetId="8" hidden="1">Adquisición!$B$7:$AG$8</definedName>
    <definedName name="BaseDados" localSheetId="9" hidden="1">Control!$B$7:$AG$8</definedName>
    <definedName name="BaseDados" localSheetId="12" hidden="1">Descarte!$B$7:$AG$8</definedName>
    <definedName name="BaseDados" localSheetId="7" hidden="1">Estratégia!$B$7:$AG$8</definedName>
    <definedName name="BaseDados" localSheetId="11" hidden="1">Mantenimiento!$B$7:$AG$8</definedName>
    <definedName name="BaseDados" localSheetId="10" hidden="1">Mercado!$B$7:$AG$8</definedName>
    <definedName name="BaseDados" localSheetId="4" hidden="1">'Resumen Items'!$B$7:$AH$8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98" l="1"/>
  <c r="AE18" i="99"/>
  <c r="AE20" i="99"/>
  <c r="AE21" i="99"/>
  <c r="AE22" i="99"/>
  <c r="AE24" i="99"/>
  <c r="AE25" i="99"/>
  <c r="AE27" i="99"/>
  <c r="AE29" i="99"/>
  <c r="AE30" i="99"/>
  <c r="AE31" i="99"/>
  <c r="AE32" i="99"/>
  <c r="AE34" i="99"/>
  <c r="AE37" i="99"/>
  <c r="AE44" i="99"/>
  <c r="AE45" i="99"/>
  <c r="AE48" i="99"/>
  <c r="AE49" i="99"/>
  <c r="AE51" i="99"/>
  <c r="AE52" i="99"/>
  <c r="AE55" i="99"/>
  <c r="AE56" i="99"/>
  <c r="AE61" i="99"/>
  <c r="AE65" i="99"/>
  <c r="AE66" i="99"/>
  <c r="AE67" i="99"/>
  <c r="AE68" i="99"/>
  <c r="AE69" i="99"/>
  <c r="AE70" i="99"/>
  <c r="AE71" i="99"/>
  <c r="AE74" i="99"/>
  <c r="AE75" i="99"/>
  <c r="AE77" i="99"/>
  <c r="AE78" i="99"/>
  <c r="AE17" i="99"/>
  <c r="AW44" i="98"/>
  <c r="X80" i="99"/>
  <c r="AB80" i="99" s="1"/>
  <c r="AP80" i="99" s="1"/>
  <c r="AV80" i="99" s="1"/>
  <c r="W80" i="99"/>
  <c r="AA80" i="99" s="1"/>
  <c r="AO80" i="99" s="1"/>
  <c r="AU80" i="99" s="1"/>
  <c r="V80" i="99"/>
  <c r="Z80" i="99" s="1"/>
  <c r="X79" i="99"/>
  <c r="AB79" i="99" s="1"/>
  <c r="AP79" i="99" s="1"/>
  <c r="AV79" i="99" s="1"/>
  <c r="W79" i="99"/>
  <c r="AA79" i="99" s="1"/>
  <c r="AO79" i="99" s="1"/>
  <c r="AU79" i="99" s="1"/>
  <c r="V79" i="99"/>
  <c r="Z79" i="99" s="1"/>
  <c r="Y78" i="99"/>
  <c r="AC78" i="99" s="1"/>
  <c r="AQ78" i="99" s="1"/>
  <c r="AW78" i="99" s="1"/>
  <c r="X78" i="99"/>
  <c r="AB78" i="99" s="1"/>
  <c r="AP78" i="99" s="1"/>
  <c r="AV78" i="99" s="1"/>
  <c r="W78" i="99"/>
  <c r="AA78" i="99" s="1"/>
  <c r="AO78" i="99" s="1"/>
  <c r="AU78" i="99" s="1"/>
  <c r="V78" i="99"/>
  <c r="Z78" i="99" s="1"/>
  <c r="Y77" i="99"/>
  <c r="AC77" i="99" s="1"/>
  <c r="AQ77" i="99" s="1"/>
  <c r="AW77" i="99" s="1"/>
  <c r="X77" i="99"/>
  <c r="AB77" i="99" s="1"/>
  <c r="AP77" i="99" s="1"/>
  <c r="AV77" i="99" s="1"/>
  <c r="W77" i="99"/>
  <c r="AA77" i="99" s="1"/>
  <c r="AO77" i="99" s="1"/>
  <c r="AU77" i="99" s="1"/>
  <c r="V77" i="99"/>
  <c r="Z77" i="99" s="1"/>
  <c r="AN77" i="99" s="1"/>
  <c r="Y75" i="99"/>
  <c r="AC75" i="99" s="1"/>
  <c r="AQ75" i="99" s="1"/>
  <c r="AW75" i="99" s="1"/>
  <c r="X75" i="99"/>
  <c r="AB75" i="99" s="1"/>
  <c r="AP75" i="99" s="1"/>
  <c r="AV75" i="99" s="1"/>
  <c r="W75" i="99"/>
  <c r="AA75" i="99" s="1"/>
  <c r="AO75" i="99" s="1"/>
  <c r="AU75" i="99" s="1"/>
  <c r="V75" i="99"/>
  <c r="Z75" i="99" s="1"/>
  <c r="AN75" i="99" s="1"/>
  <c r="Y74" i="99"/>
  <c r="AC74" i="99" s="1"/>
  <c r="AQ74" i="99" s="1"/>
  <c r="AW74" i="99" s="1"/>
  <c r="X74" i="99"/>
  <c r="AB74" i="99" s="1"/>
  <c r="AP74" i="99" s="1"/>
  <c r="AV74" i="99" s="1"/>
  <c r="W74" i="99"/>
  <c r="AA74" i="99" s="1"/>
  <c r="AO74" i="99" s="1"/>
  <c r="AU74" i="99" s="1"/>
  <c r="V74" i="99"/>
  <c r="Z74" i="99" s="1"/>
  <c r="Y73" i="99"/>
  <c r="AC73" i="99" s="1"/>
  <c r="AQ73" i="99" s="1"/>
  <c r="AW73" i="99" s="1"/>
  <c r="Y72" i="99"/>
  <c r="AC72" i="99" s="1"/>
  <c r="AQ72" i="99" s="1"/>
  <c r="AW72" i="99" s="1"/>
  <c r="W72" i="99"/>
  <c r="AA72" i="99" s="1"/>
  <c r="AO72" i="99" s="1"/>
  <c r="AU72" i="99" s="1"/>
  <c r="V72" i="99"/>
  <c r="Z72" i="99" s="1"/>
  <c r="Y71" i="99"/>
  <c r="AC71" i="99" s="1"/>
  <c r="AQ71" i="99" s="1"/>
  <c r="AW71" i="99" s="1"/>
  <c r="X71" i="99"/>
  <c r="AB71" i="99" s="1"/>
  <c r="AP71" i="99" s="1"/>
  <c r="AV71" i="99" s="1"/>
  <c r="W71" i="99"/>
  <c r="AA71" i="99" s="1"/>
  <c r="AO71" i="99" s="1"/>
  <c r="AU71" i="99" s="1"/>
  <c r="V71" i="99"/>
  <c r="Z71" i="99" s="1"/>
  <c r="AN71" i="99" s="1"/>
  <c r="Y70" i="99"/>
  <c r="AC70" i="99" s="1"/>
  <c r="AQ70" i="99" s="1"/>
  <c r="AW70" i="99" s="1"/>
  <c r="X70" i="99"/>
  <c r="AB70" i="99" s="1"/>
  <c r="AP70" i="99" s="1"/>
  <c r="AV70" i="99" s="1"/>
  <c r="W70" i="99"/>
  <c r="AA70" i="99" s="1"/>
  <c r="AO70" i="99" s="1"/>
  <c r="AU70" i="99" s="1"/>
  <c r="V70" i="99"/>
  <c r="Z70" i="99" s="1"/>
  <c r="Y69" i="99"/>
  <c r="AC69" i="99" s="1"/>
  <c r="AQ69" i="99" s="1"/>
  <c r="AW69" i="99" s="1"/>
  <c r="X69" i="99"/>
  <c r="AB69" i="99" s="1"/>
  <c r="AP69" i="99" s="1"/>
  <c r="AV69" i="99" s="1"/>
  <c r="W69" i="99"/>
  <c r="AA69" i="99" s="1"/>
  <c r="AO69" i="99" s="1"/>
  <c r="AU69" i="99" s="1"/>
  <c r="V69" i="99"/>
  <c r="Z69" i="99" s="1"/>
  <c r="AN69" i="99" s="1"/>
  <c r="Y68" i="99"/>
  <c r="AC68" i="99" s="1"/>
  <c r="AQ68" i="99" s="1"/>
  <c r="AW68" i="99" s="1"/>
  <c r="X68" i="99"/>
  <c r="AB68" i="99" s="1"/>
  <c r="AP68" i="99" s="1"/>
  <c r="AV68" i="99" s="1"/>
  <c r="W68" i="99"/>
  <c r="AA68" i="99" s="1"/>
  <c r="AO68" i="99" s="1"/>
  <c r="AU68" i="99" s="1"/>
  <c r="V68" i="99"/>
  <c r="Z68" i="99" s="1"/>
  <c r="Y67" i="99"/>
  <c r="AC67" i="99" s="1"/>
  <c r="AQ67" i="99" s="1"/>
  <c r="AW67" i="99" s="1"/>
  <c r="X67" i="99"/>
  <c r="AB67" i="99" s="1"/>
  <c r="AP67" i="99" s="1"/>
  <c r="AV67" i="99" s="1"/>
  <c r="W67" i="99"/>
  <c r="AA67" i="99" s="1"/>
  <c r="AO67" i="99" s="1"/>
  <c r="AU67" i="99" s="1"/>
  <c r="V67" i="99"/>
  <c r="Z67" i="99" s="1"/>
  <c r="AN67" i="99" s="1"/>
  <c r="Y66" i="99"/>
  <c r="AC66" i="99" s="1"/>
  <c r="AQ66" i="99" s="1"/>
  <c r="AW66" i="99" s="1"/>
  <c r="X66" i="99"/>
  <c r="AB66" i="99" s="1"/>
  <c r="AP66" i="99" s="1"/>
  <c r="AV66" i="99" s="1"/>
  <c r="W66" i="99"/>
  <c r="AA66" i="99" s="1"/>
  <c r="AO66" i="99" s="1"/>
  <c r="AU66" i="99" s="1"/>
  <c r="V66" i="99"/>
  <c r="Z66" i="99" s="1"/>
  <c r="Y65" i="99"/>
  <c r="AC65" i="99" s="1"/>
  <c r="AQ65" i="99" s="1"/>
  <c r="AW65" i="99" s="1"/>
  <c r="X65" i="99"/>
  <c r="AB65" i="99" s="1"/>
  <c r="AP65" i="99" s="1"/>
  <c r="AV65" i="99" s="1"/>
  <c r="W65" i="99"/>
  <c r="AA65" i="99" s="1"/>
  <c r="AO65" i="99" s="1"/>
  <c r="AU65" i="99" s="1"/>
  <c r="V65" i="99"/>
  <c r="Z65" i="99" s="1"/>
  <c r="AN65" i="99" s="1"/>
  <c r="Y64" i="99"/>
  <c r="AC64" i="99" s="1"/>
  <c r="AQ64" i="99" s="1"/>
  <c r="AW64" i="99" s="1"/>
  <c r="V64" i="99"/>
  <c r="Z64" i="99" s="1"/>
  <c r="Y63" i="99"/>
  <c r="AC63" i="99" s="1"/>
  <c r="AQ63" i="99" s="1"/>
  <c r="AW63" i="99" s="1"/>
  <c r="Y62" i="99"/>
  <c r="AC62" i="99" s="1"/>
  <c r="AQ62" i="99" s="1"/>
  <c r="AW62" i="99" s="1"/>
  <c r="W62" i="99"/>
  <c r="AA62" i="99" s="1"/>
  <c r="AO62" i="99" s="1"/>
  <c r="AU62" i="99" s="1"/>
  <c r="V62" i="99"/>
  <c r="Z62" i="99" s="1"/>
  <c r="Y61" i="99"/>
  <c r="AC61" i="99" s="1"/>
  <c r="AQ61" i="99" s="1"/>
  <c r="AW61" i="99" s="1"/>
  <c r="X61" i="99"/>
  <c r="AB61" i="99" s="1"/>
  <c r="AP61" i="99" s="1"/>
  <c r="AV61" i="99" s="1"/>
  <c r="W61" i="99"/>
  <c r="AA61" i="99" s="1"/>
  <c r="AO61" i="99" s="1"/>
  <c r="AU61" i="99" s="1"/>
  <c r="V61" i="99"/>
  <c r="Z61" i="99" s="1"/>
  <c r="Y60" i="99"/>
  <c r="AC60" i="99" s="1"/>
  <c r="AQ60" i="99" s="1"/>
  <c r="AW60" i="99" s="1"/>
  <c r="X60" i="99"/>
  <c r="AB60" i="99" s="1"/>
  <c r="AP60" i="99" s="1"/>
  <c r="AV60" i="99" s="1"/>
  <c r="V60" i="99"/>
  <c r="Z60" i="99" s="1"/>
  <c r="Y59" i="99"/>
  <c r="AC59" i="99" s="1"/>
  <c r="AQ59" i="99" s="1"/>
  <c r="AW59" i="99" s="1"/>
  <c r="X59" i="99"/>
  <c r="AB59" i="99" s="1"/>
  <c r="AP59" i="99" s="1"/>
  <c r="AV59" i="99" s="1"/>
  <c r="V59" i="99"/>
  <c r="Z59" i="99" s="1"/>
  <c r="AN59" i="99" s="1"/>
  <c r="Y58" i="99"/>
  <c r="AC58" i="99" s="1"/>
  <c r="AQ58" i="99" s="1"/>
  <c r="AW58" i="99" s="1"/>
  <c r="W58" i="99"/>
  <c r="AA58" i="99" s="1"/>
  <c r="AO58" i="99" s="1"/>
  <c r="AU58" i="99" s="1"/>
  <c r="V58" i="99"/>
  <c r="Z58" i="99" s="1"/>
  <c r="Y57" i="99"/>
  <c r="AC57" i="99" s="1"/>
  <c r="AQ57" i="99" s="1"/>
  <c r="AW57" i="99" s="1"/>
  <c r="W57" i="99"/>
  <c r="AA57" i="99" s="1"/>
  <c r="AO57" i="99" s="1"/>
  <c r="AU57" i="99" s="1"/>
  <c r="V57" i="99"/>
  <c r="Z57" i="99" s="1"/>
  <c r="AN57" i="99" s="1"/>
  <c r="Y56" i="99"/>
  <c r="AC56" i="99" s="1"/>
  <c r="AQ56" i="99" s="1"/>
  <c r="AW56" i="99" s="1"/>
  <c r="X56" i="99"/>
  <c r="AB56" i="99" s="1"/>
  <c r="AP56" i="99" s="1"/>
  <c r="AV56" i="99" s="1"/>
  <c r="W56" i="99"/>
  <c r="AA56" i="99" s="1"/>
  <c r="AO56" i="99" s="1"/>
  <c r="AU56" i="99" s="1"/>
  <c r="V56" i="99"/>
  <c r="Z56" i="99" s="1"/>
  <c r="Y55" i="99"/>
  <c r="AC55" i="99" s="1"/>
  <c r="AQ55" i="99" s="1"/>
  <c r="AW55" i="99" s="1"/>
  <c r="X55" i="99"/>
  <c r="AB55" i="99" s="1"/>
  <c r="AP55" i="99" s="1"/>
  <c r="AV55" i="99" s="1"/>
  <c r="W55" i="99"/>
  <c r="AA55" i="99" s="1"/>
  <c r="AO55" i="99" s="1"/>
  <c r="AU55" i="99" s="1"/>
  <c r="V55" i="99"/>
  <c r="Z55" i="99" s="1"/>
  <c r="AN55" i="99" s="1"/>
  <c r="Y54" i="99"/>
  <c r="AC54" i="99" s="1"/>
  <c r="AQ54" i="99" s="1"/>
  <c r="AW54" i="99" s="1"/>
  <c r="X54" i="99"/>
  <c r="AB54" i="99" s="1"/>
  <c r="AP54" i="99" s="1"/>
  <c r="AV54" i="99" s="1"/>
  <c r="V54" i="99"/>
  <c r="Z54" i="99" s="1"/>
  <c r="Y53" i="99"/>
  <c r="AC53" i="99" s="1"/>
  <c r="AQ53" i="99" s="1"/>
  <c r="AW53" i="99" s="1"/>
  <c r="Y52" i="99"/>
  <c r="AC52" i="99" s="1"/>
  <c r="AQ52" i="99" s="1"/>
  <c r="AW52" i="99" s="1"/>
  <c r="X52" i="99"/>
  <c r="AB52" i="99" s="1"/>
  <c r="AP52" i="99" s="1"/>
  <c r="AV52" i="99" s="1"/>
  <c r="W52" i="99"/>
  <c r="AA52" i="99" s="1"/>
  <c r="AO52" i="99" s="1"/>
  <c r="AU52" i="99" s="1"/>
  <c r="V52" i="99"/>
  <c r="Z52" i="99" s="1"/>
  <c r="Y51" i="99"/>
  <c r="AC51" i="99" s="1"/>
  <c r="AQ51" i="99" s="1"/>
  <c r="AW51" i="99" s="1"/>
  <c r="X51" i="99"/>
  <c r="AB51" i="99" s="1"/>
  <c r="AP51" i="99" s="1"/>
  <c r="AV51" i="99" s="1"/>
  <c r="W51" i="99"/>
  <c r="AA51" i="99" s="1"/>
  <c r="V51" i="99"/>
  <c r="Z51" i="99" s="1"/>
  <c r="AN51" i="99" s="1"/>
  <c r="X50" i="99"/>
  <c r="AB50" i="99" s="1"/>
  <c r="AP50" i="99" s="1"/>
  <c r="AV50" i="99" s="1"/>
  <c r="W50" i="99"/>
  <c r="AA50" i="99" s="1"/>
  <c r="AO50" i="99" s="1"/>
  <c r="AU50" i="99" s="1"/>
  <c r="V50" i="99"/>
  <c r="Z50" i="99" s="1"/>
  <c r="Y49" i="99"/>
  <c r="AC49" i="99" s="1"/>
  <c r="AQ49" i="99" s="1"/>
  <c r="AW49" i="99" s="1"/>
  <c r="X49" i="99"/>
  <c r="AB49" i="99" s="1"/>
  <c r="AP49" i="99" s="1"/>
  <c r="AV49" i="99" s="1"/>
  <c r="W49" i="99"/>
  <c r="AA49" i="99" s="1"/>
  <c r="AO49" i="99" s="1"/>
  <c r="AU49" i="99" s="1"/>
  <c r="V49" i="99"/>
  <c r="Z49" i="99" s="1"/>
  <c r="AN49" i="99" s="1"/>
  <c r="Y48" i="99"/>
  <c r="AC48" i="99" s="1"/>
  <c r="AQ48" i="99" s="1"/>
  <c r="AW48" i="99" s="1"/>
  <c r="X48" i="99"/>
  <c r="AB48" i="99" s="1"/>
  <c r="AP48" i="99" s="1"/>
  <c r="AV48" i="99" s="1"/>
  <c r="W48" i="99"/>
  <c r="AA48" i="99" s="1"/>
  <c r="AO48" i="99" s="1"/>
  <c r="AU48" i="99" s="1"/>
  <c r="V48" i="99"/>
  <c r="Z48" i="99" s="1"/>
  <c r="AN48" i="99" s="1"/>
  <c r="AT48" i="99" s="1"/>
  <c r="Y47" i="99"/>
  <c r="AC47" i="99" s="1"/>
  <c r="AQ47" i="99" s="1"/>
  <c r="AW47" i="99" s="1"/>
  <c r="X47" i="99"/>
  <c r="AB47" i="99" s="1"/>
  <c r="AP47" i="99" s="1"/>
  <c r="AV47" i="99" s="1"/>
  <c r="V46" i="99"/>
  <c r="Z46" i="99" s="1"/>
  <c r="AN46" i="99" s="1"/>
  <c r="AT46" i="99" s="1"/>
  <c r="Y45" i="99"/>
  <c r="AC45" i="99" s="1"/>
  <c r="AQ45" i="99" s="1"/>
  <c r="AW45" i="99" s="1"/>
  <c r="X45" i="99"/>
  <c r="AB45" i="99" s="1"/>
  <c r="AP45" i="99" s="1"/>
  <c r="AV45" i="99" s="1"/>
  <c r="W45" i="99"/>
  <c r="AA45" i="99" s="1"/>
  <c r="V45" i="99"/>
  <c r="Z45" i="99" s="1"/>
  <c r="AN45" i="99" s="1"/>
  <c r="Y44" i="99"/>
  <c r="AC44" i="99" s="1"/>
  <c r="AQ44" i="99" s="1"/>
  <c r="AW44" i="99" s="1"/>
  <c r="X44" i="99"/>
  <c r="AB44" i="99" s="1"/>
  <c r="AP44" i="99" s="1"/>
  <c r="AV44" i="99" s="1"/>
  <c r="W44" i="99"/>
  <c r="AA44" i="99" s="1"/>
  <c r="AO44" i="99" s="1"/>
  <c r="AU44" i="99" s="1"/>
  <c r="V44" i="99"/>
  <c r="Z44" i="99" s="1"/>
  <c r="AN44" i="99" s="1"/>
  <c r="Y43" i="99"/>
  <c r="AC43" i="99" s="1"/>
  <c r="AQ43" i="99" s="1"/>
  <c r="AW43" i="99" s="1"/>
  <c r="W43" i="99"/>
  <c r="AA43" i="99" s="1"/>
  <c r="AO43" i="99" s="1"/>
  <c r="AU43" i="99" s="1"/>
  <c r="V43" i="99"/>
  <c r="Z43" i="99" s="1"/>
  <c r="X42" i="99"/>
  <c r="AB42" i="99" s="1"/>
  <c r="AP42" i="99" s="1"/>
  <c r="AV42" i="99" s="1"/>
  <c r="W42" i="99"/>
  <c r="AA42" i="99" s="1"/>
  <c r="AO42" i="99" s="1"/>
  <c r="AU42" i="99" s="1"/>
  <c r="V42" i="99"/>
  <c r="Z42" i="99" s="1"/>
  <c r="AN42" i="99" s="1"/>
  <c r="AT42" i="99" s="1"/>
  <c r="Y41" i="99"/>
  <c r="AC41" i="99" s="1"/>
  <c r="AQ41" i="99" s="1"/>
  <c r="AW41" i="99" s="1"/>
  <c r="X41" i="99"/>
  <c r="AB41" i="99" s="1"/>
  <c r="AP41" i="99" s="1"/>
  <c r="AV41" i="99" s="1"/>
  <c r="V41" i="99"/>
  <c r="Z41" i="99" s="1"/>
  <c r="X40" i="99"/>
  <c r="AB40" i="99" s="1"/>
  <c r="AP40" i="99" s="1"/>
  <c r="AV40" i="99" s="1"/>
  <c r="W40" i="99"/>
  <c r="AA40" i="99" s="1"/>
  <c r="AO40" i="99" s="1"/>
  <c r="AU40" i="99" s="1"/>
  <c r="V40" i="99"/>
  <c r="Z40" i="99" s="1"/>
  <c r="AN40" i="99" s="1"/>
  <c r="AT40" i="99" s="1"/>
  <c r="Y38" i="99"/>
  <c r="AC38" i="99" s="1"/>
  <c r="AQ38" i="99" s="1"/>
  <c r="AW38" i="99" s="1"/>
  <c r="Y37" i="99"/>
  <c r="AC37" i="99" s="1"/>
  <c r="AQ37" i="99" s="1"/>
  <c r="AW37" i="99" s="1"/>
  <c r="X37" i="99"/>
  <c r="AB37" i="99" s="1"/>
  <c r="AP37" i="99" s="1"/>
  <c r="AV37" i="99" s="1"/>
  <c r="W37" i="99"/>
  <c r="AA37" i="99" s="1"/>
  <c r="AO37" i="99" s="1"/>
  <c r="AU37" i="99" s="1"/>
  <c r="V37" i="99"/>
  <c r="Z37" i="99" s="1"/>
  <c r="X36" i="99"/>
  <c r="AB36" i="99" s="1"/>
  <c r="AP36" i="99" s="1"/>
  <c r="AV36" i="99" s="1"/>
  <c r="W36" i="99"/>
  <c r="AA36" i="99" s="1"/>
  <c r="AO36" i="99" s="1"/>
  <c r="AU36" i="99" s="1"/>
  <c r="V36" i="99"/>
  <c r="Z36" i="99" s="1"/>
  <c r="AN36" i="99" s="1"/>
  <c r="Y34" i="99"/>
  <c r="AC34" i="99" s="1"/>
  <c r="AQ34" i="99" s="1"/>
  <c r="AW34" i="99" s="1"/>
  <c r="X34" i="99"/>
  <c r="AB34" i="99" s="1"/>
  <c r="AP34" i="99" s="1"/>
  <c r="AV34" i="99" s="1"/>
  <c r="W34" i="99"/>
  <c r="AA34" i="99" s="1"/>
  <c r="AO34" i="99" s="1"/>
  <c r="AU34" i="99" s="1"/>
  <c r="V34" i="99"/>
  <c r="Z34" i="99" s="1"/>
  <c r="AN34" i="99" s="1"/>
  <c r="Y32" i="99"/>
  <c r="AC32" i="99" s="1"/>
  <c r="AQ32" i="99" s="1"/>
  <c r="AW32" i="99" s="1"/>
  <c r="X32" i="99"/>
  <c r="AB32" i="99" s="1"/>
  <c r="AP32" i="99" s="1"/>
  <c r="AV32" i="99" s="1"/>
  <c r="W32" i="99"/>
  <c r="AA32" i="99" s="1"/>
  <c r="AO32" i="99" s="1"/>
  <c r="AU32" i="99" s="1"/>
  <c r="V32" i="99"/>
  <c r="Z32" i="99" s="1"/>
  <c r="AN32" i="99" s="1"/>
  <c r="Y31" i="99"/>
  <c r="AC31" i="99" s="1"/>
  <c r="AQ31" i="99" s="1"/>
  <c r="AW31" i="99" s="1"/>
  <c r="X31" i="99"/>
  <c r="AB31" i="99" s="1"/>
  <c r="AP31" i="99" s="1"/>
  <c r="AV31" i="99" s="1"/>
  <c r="W31" i="99"/>
  <c r="AA31" i="99" s="1"/>
  <c r="AO31" i="99" s="1"/>
  <c r="AU31" i="99" s="1"/>
  <c r="V31" i="99"/>
  <c r="Z31" i="99" s="1"/>
  <c r="Y30" i="99"/>
  <c r="AC30" i="99" s="1"/>
  <c r="AQ30" i="99" s="1"/>
  <c r="AW30" i="99" s="1"/>
  <c r="X30" i="99"/>
  <c r="AB30" i="99" s="1"/>
  <c r="AP30" i="99" s="1"/>
  <c r="AV30" i="99" s="1"/>
  <c r="W30" i="99"/>
  <c r="AA30" i="99" s="1"/>
  <c r="AO30" i="99" s="1"/>
  <c r="AU30" i="99" s="1"/>
  <c r="V30" i="99"/>
  <c r="Z30" i="99" s="1"/>
  <c r="AN30" i="99" s="1"/>
  <c r="Y29" i="99"/>
  <c r="AC29" i="99" s="1"/>
  <c r="AQ29" i="99" s="1"/>
  <c r="AW29" i="99" s="1"/>
  <c r="X29" i="99"/>
  <c r="AB29" i="99" s="1"/>
  <c r="AP29" i="99" s="1"/>
  <c r="AV29" i="99" s="1"/>
  <c r="W29" i="99"/>
  <c r="AA29" i="99" s="1"/>
  <c r="AO29" i="99" s="1"/>
  <c r="AU29" i="99" s="1"/>
  <c r="V29" i="99"/>
  <c r="Z29" i="99" s="1"/>
  <c r="W28" i="99"/>
  <c r="AA28" i="99" s="1"/>
  <c r="AO28" i="99" s="1"/>
  <c r="AU28" i="99" s="1"/>
  <c r="V28" i="99"/>
  <c r="Z28" i="99" s="1"/>
  <c r="AN28" i="99" s="1"/>
  <c r="Y27" i="99"/>
  <c r="AC27" i="99" s="1"/>
  <c r="AQ27" i="99" s="1"/>
  <c r="AW27" i="99" s="1"/>
  <c r="X27" i="99"/>
  <c r="AB27" i="99" s="1"/>
  <c r="AP27" i="99" s="1"/>
  <c r="AV27" i="99" s="1"/>
  <c r="W27" i="99"/>
  <c r="AA27" i="99" s="1"/>
  <c r="AO27" i="99" s="1"/>
  <c r="AU27" i="99" s="1"/>
  <c r="V27" i="99"/>
  <c r="Z27" i="99" s="1"/>
  <c r="X26" i="99"/>
  <c r="AB26" i="99" s="1"/>
  <c r="AP26" i="99" s="1"/>
  <c r="AV26" i="99" s="1"/>
  <c r="V26" i="99"/>
  <c r="Z26" i="99" s="1"/>
  <c r="AN26" i="99" s="1"/>
  <c r="Y25" i="99"/>
  <c r="AC25" i="99" s="1"/>
  <c r="AQ25" i="99" s="1"/>
  <c r="AW25" i="99" s="1"/>
  <c r="X25" i="99"/>
  <c r="AB25" i="99" s="1"/>
  <c r="AP25" i="99" s="1"/>
  <c r="AV25" i="99" s="1"/>
  <c r="W25" i="99"/>
  <c r="AA25" i="99" s="1"/>
  <c r="AO25" i="99" s="1"/>
  <c r="AU25" i="99" s="1"/>
  <c r="V25" i="99"/>
  <c r="Z25" i="99" s="1"/>
  <c r="Y24" i="99"/>
  <c r="AC24" i="99" s="1"/>
  <c r="AQ24" i="99" s="1"/>
  <c r="AW24" i="99" s="1"/>
  <c r="X24" i="99"/>
  <c r="AB24" i="99" s="1"/>
  <c r="AP24" i="99" s="1"/>
  <c r="AV24" i="99" s="1"/>
  <c r="W24" i="99"/>
  <c r="AA24" i="99" s="1"/>
  <c r="AO24" i="99" s="1"/>
  <c r="AU24" i="99" s="1"/>
  <c r="V24" i="99"/>
  <c r="Z24" i="99" s="1"/>
  <c r="AN24" i="99" s="1"/>
  <c r="W23" i="99"/>
  <c r="AA23" i="99" s="1"/>
  <c r="AO23" i="99" s="1"/>
  <c r="AU23" i="99" s="1"/>
  <c r="V23" i="99"/>
  <c r="Z23" i="99" s="1"/>
  <c r="Y22" i="99"/>
  <c r="AC22" i="99" s="1"/>
  <c r="AQ22" i="99" s="1"/>
  <c r="AW22" i="99" s="1"/>
  <c r="X22" i="99"/>
  <c r="AB22" i="99" s="1"/>
  <c r="AP22" i="99" s="1"/>
  <c r="AV22" i="99" s="1"/>
  <c r="W22" i="99"/>
  <c r="AA22" i="99" s="1"/>
  <c r="AO22" i="99" s="1"/>
  <c r="AU22" i="99" s="1"/>
  <c r="V22" i="99"/>
  <c r="Z22" i="99" s="1"/>
  <c r="AN22" i="99" s="1"/>
  <c r="Y21" i="99"/>
  <c r="AC21" i="99" s="1"/>
  <c r="AQ21" i="99" s="1"/>
  <c r="AW21" i="99" s="1"/>
  <c r="X21" i="99"/>
  <c r="AB21" i="99" s="1"/>
  <c r="AP21" i="99" s="1"/>
  <c r="AV21" i="99" s="1"/>
  <c r="W21" i="99"/>
  <c r="AA21" i="99" s="1"/>
  <c r="AO21" i="99" s="1"/>
  <c r="AU21" i="99" s="1"/>
  <c r="V21" i="99"/>
  <c r="Z21" i="99" s="1"/>
  <c r="AN21" i="99" s="1"/>
  <c r="Y20" i="99"/>
  <c r="AC20" i="99" s="1"/>
  <c r="AQ20" i="99" s="1"/>
  <c r="AW20" i="99" s="1"/>
  <c r="X20" i="99"/>
  <c r="AB20" i="99" s="1"/>
  <c r="AP20" i="99" s="1"/>
  <c r="AV20" i="99" s="1"/>
  <c r="V20" i="99"/>
  <c r="Z20" i="99" s="1"/>
  <c r="Y19" i="99"/>
  <c r="AC19" i="99" s="1"/>
  <c r="AQ19" i="99" s="1"/>
  <c r="AW19" i="99" s="1"/>
  <c r="W19" i="99"/>
  <c r="AA19" i="99" s="1"/>
  <c r="AO19" i="99" s="1"/>
  <c r="AU19" i="99" s="1"/>
  <c r="V19" i="99"/>
  <c r="Z19" i="99" s="1"/>
  <c r="Y18" i="99"/>
  <c r="AC18" i="99" s="1"/>
  <c r="AQ18" i="99" s="1"/>
  <c r="AW18" i="99" s="1"/>
  <c r="X18" i="99"/>
  <c r="AB18" i="99" s="1"/>
  <c r="AP18" i="99" s="1"/>
  <c r="AV18" i="99" s="1"/>
  <c r="W18" i="99"/>
  <c r="AA18" i="99" s="1"/>
  <c r="AO18" i="99" s="1"/>
  <c r="AU18" i="99" s="1"/>
  <c r="V18" i="99"/>
  <c r="Z18" i="99" s="1"/>
  <c r="AN18" i="99" s="1"/>
  <c r="Y17" i="99"/>
  <c r="AC17" i="99" s="1"/>
  <c r="AQ17" i="99" s="1"/>
  <c r="AW17" i="99" s="1"/>
  <c r="X17" i="99"/>
  <c r="AB17" i="99" s="1"/>
  <c r="AP17" i="99" s="1"/>
  <c r="AV17" i="99" s="1"/>
  <c r="W17" i="99"/>
  <c r="AA17" i="99" s="1"/>
  <c r="AO17" i="99" s="1"/>
  <c r="AU17" i="99" s="1"/>
  <c r="V17" i="99"/>
  <c r="Z17" i="99" s="1"/>
  <c r="AN17" i="99" s="1"/>
  <c r="U80" i="99"/>
  <c r="U79" i="99"/>
  <c r="U78" i="99"/>
  <c r="U77" i="99"/>
  <c r="U76" i="99"/>
  <c r="U75" i="99"/>
  <c r="U74" i="99"/>
  <c r="U73" i="99"/>
  <c r="U72" i="99"/>
  <c r="U71" i="99"/>
  <c r="U70" i="99"/>
  <c r="U69" i="99"/>
  <c r="U68" i="99"/>
  <c r="U67" i="99"/>
  <c r="U66" i="99"/>
  <c r="U65" i="99"/>
  <c r="U64" i="99"/>
  <c r="U63" i="99"/>
  <c r="U62" i="99"/>
  <c r="U61" i="99"/>
  <c r="U60" i="99"/>
  <c r="U59" i="99"/>
  <c r="U58" i="99"/>
  <c r="U57" i="99"/>
  <c r="U56" i="99"/>
  <c r="U55" i="99"/>
  <c r="U54" i="99"/>
  <c r="U53" i="99"/>
  <c r="U52" i="99"/>
  <c r="U51" i="99"/>
  <c r="U50" i="99"/>
  <c r="U49" i="99"/>
  <c r="U48" i="99"/>
  <c r="U47" i="99"/>
  <c r="U46" i="99"/>
  <c r="U45" i="99"/>
  <c r="U44" i="99"/>
  <c r="U43" i="99"/>
  <c r="U42" i="99"/>
  <c r="U41" i="99"/>
  <c r="U40" i="99"/>
  <c r="U39" i="99"/>
  <c r="U38" i="99"/>
  <c r="U37" i="99"/>
  <c r="U36" i="99"/>
  <c r="U35" i="99"/>
  <c r="U34" i="99"/>
  <c r="U33" i="99"/>
  <c r="U32" i="99"/>
  <c r="U31" i="99"/>
  <c r="U30" i="99"/>
  <c r="U29" i="99"/>
  <c r="U28" i="99"/>
  <c r="U27" i="99"/>
  <c r="U26" i="99"/>
  <c r="U25" i="99"/>
  <c r="U24" i="99"/>
  <c r="U23" i="99"/>
  <c r="U22" i="99"/>
  <c r="U21" i="99"/>
  <c r="U20" i="99"/>
  <c r="U19" i="99"/>
  <c r="U18" i="99"/>
  <c r="U17" i="99"/>
  <c r="F10" i="99"/>
  <c r="D10" i="99"/>
  <c r="C10" i="99"/>
  <c r="AD61" i="99" l="1"/>
  <c r="AN61" i="99"/>
  <c r="AR61" i="99" s="1"/>
  <c r="AD71" i="99"/>
  <c r="AN23" i="99"/>
  <c r="AT23" i="99" s="1"/>
  <c r="AN20" i="99"/>
  <c r="AT24" i="99"/>
  <c r="AR24" i="99"/>
  <c r="AR75" i="99"/>
  <c r="AT75" i="99"/>
  <c r="AN29" i="99"/>
  <c r="AD29" i="99"/>
  <c r="AT45" i="99"/>
  <c r="AR77" i="99"/>
  <c r="AT77" i="99"/>
  <c r="AT49" i="99"/>
  <c r="AR49" i="99"/>
  <c r="AR55" i="99"/>
  <c r="AT55" i="99"/>
  <c r="AT26" i="99"/>
  <c r="AN31" i="99"/>
  <c r="AD31" i="99"/>
  <c r="AT21" i="99"/>
  <c r="AR21" i="99"/>
  <c r="AR22" i="99"/>
  <c r="AT22" i="99"/>
  <c r="AO45" i="99"/>
  <c r="AU45" i="99" s="1"/>
  <c r="AD45" i="99"/>
  <c r="AT17" i="99"/>
  <c r="AR17" i="99"/>
  <c r="AN27" i="99"/>
  <c r="AD27" i="99"/>
  <c r="AR18" i="99"/>
  <c r="AT18" i="99"/>
  <c r="AT28" i="99"/>
  <c r="AR48" i="99"/>
  <c r="AT51" i="99"/>
  <c r="AT36" i="99"/>
  <c r="AT30" i="99"/>
  <c r="AR30" i="99"/>
  <c r="AO51" i="99"/>
  <c r="AU51" i="99" s="1"/>
  <c r="AD51" i="99"/>
  <c r="AR71" i="99"/>
  <c r="AT71" i="99"/>
  <c r="AN19" i="99"/>
  <c r="AN25" i="99"/>
  <c r="AD25" i="99"/>
  <c r="AT32" i="99"/>
  <c r="AR32" i="99"/>
  <c r="AN37" i="99"/>
  <c r="AD37" i="99"/>
  <c r="AT44" i="99"/>
  <c r="AR44" i="99"/>
  <c r="AT59" i="99"/>
  <c r="AT34" i="99"/>
  <c r="AR34" i="99"/>
  <c r="AN41" i="99"/>
  <c r="AN50" i="99"/>
  <c r="AN60" i="99"/>
  <c r="AD18" i="99"/>
  <c r="AD22" i="99"/>
  <c r="AN43" i="99"/>
  <c r="AT57" i="99"/>
  <c r="AN74" i="99"/>
  <c r="AD74" i="99"/>
  <c r="AD49" i="99"/>
  <c r="AN54" i="99"/>
  <c r="AD55" i="99"/>
  <c r="AD17" i="99"/>
  <c r="AD21" i="99"/>
  <c r="AN62" i="99"/>
  <c r="AD65" i="99"/>
  <c r="AD69" i="99"/>
  <c r="AN72" i="99"/>
  <c r="AD77" i="99"/>
  <c r="AN80" i="99"/>
  <c r="AN58" i="99"/>
  <c r="AD67" i="99"/>
  <c r="AN79" i="99"/>
  <c r="AD24" i="99"/>
  <c r="AD30" i="99"/>
  <c r="AD32" i="99"/>
  <c r="AD34" i="99"/>
  <c r="AD44" i="99"/>
  <c r="AN52" i="99"/>
  <c r="AD52" i="99"/>
  <c r="AN64" i="99"/>
  <c r="AR65" i="99"/>
  <c r="AT65" i="99"/>
  <c r="AR69" i="99"/>
  <c r="AT69" i="99"/>
  <c r="AN70" i="99"/>
  <c r="AD70" i="99"/>
  <c r="AD75" i="99"/>
  <c r="AN78" i="99"/>
  <c r="AD78" i="99"/>
  <c r="AN66" i="99"/>
  <c r="AD66" i="99"/>
  <c r="AR67" i="99"/>
  <c r="AT67" i="99"/>
  <c r="AD48" i="99"/>
  <c r="AN56" i="99"/>
  <c r="AD56" i="99"/>
  <c r="AN68" i="99"/>
  <c r="AD68" i="99"/>
  <c r="AT61" i="99" l="1"/>
  <c r="AR45" i="99"/>
  <c r="AT64" i="99"/>
  <c r="AR37" i="99"/>
  <c r="AT37" i="99"/>
  <c r="AT72" i="99"/>
  <c r="AR29" i="99"/>
  <c r="AT29" i="99"/>
  <c r="AT70" i="99"/>
  <c r="AR70" i="99"/>
  <c r="AT58" i="99"/>
  <c r="AR51" i="99"/>
  <c r="AT74" i="99"/>
  <c r="AR74" i="99"/>
  <c r="AT66" i="99"/>
  <c r="AR66" i="99"/>
  <c r="AT52" i="99"/>
  <c r="AR52" i="99"/>
  <c r="AT60" i="99"/>
  <c r="AT68" i="99"/>
  <c r="AR68" i="99"/>
  <c r="AR25" i="99"/>
  <c r="AT25" i="99"/>
  <c r="AT62" i="99"/>
  <c r="AT54" i="99"/>
  <c r="AT50" i="99"/>
  <c r="AR27" i="99"/>
  <c r="AT27" i="99"/>
  <c r="AT56" i="99"/>
  <c r="AR56" i="99"/>
  <c r="AT80" i="99"/>
  <c r="AT41" i="99"/>
  <c r="AT19" i="99"/>
  <c r="AT20" i="99"/>
  <c r="AT78" i="99"/>
  <c r="AR78" i="99"/>
  <c r="AT79" i="99"/>
  <c r="AT43" i="99"/>
  <c r="AR31" i="99"/>
  <c r="AT31" i="99"/>
  <c r="AU11" i="98" l="1"/>
  <c r="AV11" i="98"/>
  <c r="AW11" i="98"/>
  <c r="AU12" i="98"/>
  <c r="AV12" i="98"/>
  <c r="AU13" i="98"/>
  <c r="AV13" i="98"/>
  <c r="AU14" i="98"/>
  <c r="AV14" i="98"/>
  <c r="AW14" i="98"/>
  <c r="AU15" i="98"/>
  <c r="AV15" i="98"/>
  <c r="AU16" i="98"/>
  <c r="AV16" i="98"/>
  <c r="AU17" i="98"/>
  <c r="AV17" i="98"/>
  <c r="AW17" i="98"/>
  <c r="AU18" i="98"/>
  <c r="AV18" i="98"/>
  <c r="AW18" i="98"/>
  <c r="AU19" i="98"/>
  <c r="AV19" i="98"/>
  <c r="AU20" i="98"/>
  <c r="AV20" i="98"/>
  <c r="AW20" i="98"/>
  <c r="AU21" i="98"/>
  <c r="AV21" i="98"/>
  <c r="AU22" i="98"/>
  <c r="AV22" i="98"/>
  <c r="AW22" i="98"/>
  <c r="AU23" i="98"/>
  <c r="AV23" i="98"/>
  <c r="AU24" i="98"/>
  <c r="AV24" i="98"/>
  <c r="AU25" i="98"/>
  <c r="AV25" i="98"/>
  <c r="AW25" i="98"/>
  <c r="AU26" i="98"/>
  <c r="AV26" i="98"/>
  <c r="AU27" i="98"/>
  <c r="AV27" i="98"/>
  <c r="AW27" i="98"/>
  <c r="AU28" i="98"/>
  <c r="AV28" i="98"/>
  <c r="AU29" i="98"/>
  <c r="AV29" i="98"/>
  <c r="AU30" i="98"/>
  <c r="AV30" i="98"/>
  <c r="AW30" i="98"/>
  <c r="AU31" i="98"/>
  <c r="AV31" i="98"/>
  <c r="AU32" i="98"/>
  <c r="AV32" i="98"/>
  <c r="AU33" i="98"/>
  <c r="AV33" i="98"/>
  <c r="AU34" i="98"/>
  <c r="AV34" i="98"/>
  <c r="AU35" i="98"/>
  <c r="AV35" i="98"/>
  <c r="AU36" i="98"/>
  <c r="AV36" i="98"/>
  <c r="AU37" i="98"/>
  <c r="AV37" i="98"/>
  <c r="AW37" i="98"/>
  <c r="AU38" i="98"/>
  <c r="AV38" i="98"/>
  <c r="AW38" i="98"/>
  <c r="AU39" i="98"/>
  <c r="AV39" i="98"/>
  <c r="AU40" i="98"/>
  <c r="AV40" i="98"/>
  <c r="AU41" i="98"/>
  <c r="AV41" i="98"/>
  <c r="AW41" i="98"/>
  <c r="AU42" i="98"/>
  <c r="AV42" i="98"/>
  <c r="AW42" i="98"/>
  <c r="AU43" i="98"/>
  <c r="AV43" i="98"/>
  <c r="AU44" i="98"/>
  <c r="AV44" i="98"/>
  <c r="AU45" i="98"/>
  <c r="AV45" i="98"/>
  <c r="AW45" i="98"/>
  <c r="AU46" i="98"/>
  <c r="AV46" i="98"/>
  <c r="AU47" i="98"/>
  <c r="AV47" i="98"/>
  <c r="AU48" i="98"/>
  <c r="AV48" i="98"/>
  <c r="AW48" i="98"/>
  <c r="AU49" i="98"/>
  <c r="AV49" i="98"/>
  <c r="AW49" i="98"/>
  <c r="AU50" i="98"/>
  <c r="AV50" i="98"/>
  <c r="AU51" i="98"/>
  <c r="AV51" i="98"/>
  <c r="AU52" i="98"/>
  <c r="AV52" i="98"/>
  <c r="AU53" i="98"/>
  <c r="AV53" i="98"/>
  <c r="AU54" i="98"/>
  <c r="AV54" i="98"/>
  <c r="AW54" i="98"/>
  <c r="AU55" i="98"/>
  <c r="AV55" i="98"/>
  <c r="AU56" i="98"/>
  <c r="AV56" i="98"/>
  <c r="AU57" i="98"/>
  <c r="AV57" i="98"/>
  <c r="AU58" i="98"/>
  <c r="AV58" i="98"/>
  <c r="AW58" i="98"/>
  <c r="AU59" i="98"/>
  <c r="AV59" i="98"/>
  <c r="AW59" i="98"/>
  <c r="AU60" i="98"/>
  <c r="AV60" i="98"/>
  <c r="AW60" i="98"/>
  <c r="AU61" i="98"/>
  <c r="AV61" i="98"/>
  <c r="AW61" i="98"/>
  <c r="AU62" i="98"/>
  <c r="AV62" i="98"/>
  <c r="AW62" i="98"/>
  <c r="AU63" i="98"/>
  <c r="AV63" i="98"/>
  <c r="AW63" i="98"/>
  <c r="AU64" i="98"/>
  <c r="AV64" i="98"/>
  <c r="AW64" i="98"/>
  <c r="AU65" i="98"/>
  <c r="AV65" i="98"/>
  <c r="AU66" i="98"/>
  <c r="AV66" i="98"/>
  <c r="AU67" i="98"/>
  <c r="AV67" i="98"/>
  <c r="AW67" i="98"/>
  <c r="AU68" i="98"/>
  <c r="AV68" i="98"/>
  <c r="AW68" i="98"/>
  <c r="AU69" i="98"/>
  <c r="AV69" i="98"/>
  <c r="AU70" i="98"/>
  <c r="AV70" i="98"/>
  <c r="AW70" i="98"/>
  <c r="AU71" i="98"/>
  <c r="AV71" i="98"/>
  <c r="AW71" i="98"/>
  <c r="AU72" i="98"/>
  <c r="AV72" i="98"/>
  <c r="AU73" i="98"/>
  <c r="AV73" i="98"/>
  <c r="AW10" i="98"/>
  <c r="AU10" i="98"/>
  <c r="AV10" i="98"/>
  <c r="E16" i="97"/>
  <c r="E16" i="94"/>
  <c r="E16" i="95"/>
  <c r="E16" i="91"/>
  <c r="E16" i="87"/>
  <c r="E16" i="84"/>
  <c r="E16" i="82"/>
  <c r="E16" i="80"/>
  <c r="E16" i="79"/>
  <c r="E16" i="78"/>
  <c r="E16" i="75"/>
  <c r="E16" i="74"/>
  <c r="E16" i="73"/>
  <c r="E16" i="72"/>
  <c r="E16" i="68"/>
  <c r="E16" i="63"/>
  <c r="E16" i="61"/>
  <c r="E16" i="60"/>
  <c r="E16" i="59"/>
  <c r="E16" i="58"/>
  <c r="E16" i="55"/>
  <c r="E16" i="53"/>
  <c r="E16" i="51"/>
  <c r="E16" i="48"/>
  <c r="E16" i="46"/>
  <c r="E16" i="44"/>
  <c r="E16" i="41"/>
  <c r="E16" i="40"/>
  <c r="E16" i="38"/>
  <c r="AI9" i="98"/>
  <c r="AI7" i="98"/>
  <c r="E16" i="96"/>
  <c r="E16" i="93"/>
  <c r="E16" i="92"/>
  <c r="E16" i="90"/>
  <c r="E16" i="89"/>
  <c r="E16" i="88"/>
  <c r="E16" i="86"/>
  <c r="E16" i="85"/>
  <c r="E16" i="83"/>
  <c r="E16" i="81"/>
  <c r="E16" i="77"/>
  <c r="E16" i="76"/>
  <c r="E16" i="71"/>
  <c r="E16" i="70"/>
  <c r="E16" i="69"/>
  <c r="E16" i="64"/>
  <c r="E16" i="62"/>
  <c r="E16" i="57"/>
  <c r="E16" i="56"/>
  <c r="E16" i="54"/>
  <c r="E16" i="33"/>
  <c r="E16" i="52"/>
  <c r="E16" i="50"/>
  <c r="E16" i="49"/>
  <c r="E16" i="32"/>
  <c r="E16" i="47"/>
  <c r="E16" i="45"/>
  <c r="E16" i="43"/>
  <c r="E16" i="42"/>
  <c r="E16" i="39"/>
  <c r="E16" i="37"/>
  <c r="E16" i="36"/>
  <c r="E16" i="35"/>
  <c r="E16" i="34"/>
  <c r="E16" i="31"/>
  <c r="E16" i="19"/>
  <c r="M12" i="98"/>
  <c r="AM10" i="98"/>
  <c r="AL10" i="98"/>
  <c r="AK10" i="98"/>
  <c r="AJ10" i="98"/>
  <c r="AI12" i="98"/>
  <c r="AM73" i="98" l="1"/>
  <c r="AL73" i="98"/>
  <c r="AK73" i="98"/>
  <c r="AJ73" i="98"/>
  <c r="AI73" i="98"/>
  <c r="AM72" i="98"/>
  <c r="AL72" i="98"/>
  <c r="AK72" i="98"/>
  <c r="AJ72" i="98"/>
  <c r="AI72" i="98"/>
  <c r="AM71" i="98"/>
  <c r="AL71" i="98"/>
  <c r="AK71" i="98"/>
  <c r="AJ71" i="98"/>
  <c r="AI71" i="98"/>
  <c r="AM70" i="98"/>
  <c r="AL70" i="98"/>
  <c r="AK70" i="98"/>
  <c r="AJ70" i="98"/>
  <c r="AI70" i="98"/>
  <c r="AM69" i="98"/>
  <c r="AL69" i="98"/>
  <c r="AK69" i="98"/>
  <c r="AJ69" i="98"/>
  <c r="AI69" i="98"/>
  <c r="AM68" i="98"/>
  <c r="AL68" i="98"/>
  <c r="AK68" i="98"/>
  <c r="AJ68" i="98"/>
  <c r="AI68" i="98"/>
  <c r="AM67" i="98"/>
  <c r="AL67" i="98"/>
  <c r="AK67" i="98"/>
  <c r="AJ67" i="98"/>
  <c r="AI67" i="98"/>
  <c r="AM66" i="98"/>
  <c r="AL66" i="98"/>
  <c r="AK66" i="98"/>
  <c r="AJ66" i="98"/>
  <c r="AI66" i="98"/>
  <c r="AM65" i="98"/>
  <c r="AL65" i="98"/>
  <c r="AK65" i="98"/>
  <c r="AJ65" i="98"/>
  <c r="AI65" i="98"/>
  <c r="AM64" i="98"/>
  <c r="AL64" i="98"/>
  <c r="AK64" i="98"/>
  <c r="AJ64" i="98"/>
  <c r="AI64" i="98"/>
  <c r="AM63" i="98"/>
  <c r="AL63" i="98"/>
  <c r="AK63" i="98"/>
  <c r="AJ63" i="98"/>
  <c r="AI63" i="98"/>
  <c r="AM62" i="98"/>
  <c r="AL62" i="98"/>
  <c r="AK62" i="98"/>
  <c r="AJ62" i="98"/>
  <c r="AI62" i="98"/>
  <c r="AM61" i="98"/>
  <c r="AL61" i="98"/>
  <c r="AK61" i="98"/>
  <c r="AJ61" i="98"/>
  <c r="AI61" i="98"/>
  <c r="AM60" i="98"/>
  <c r="AL60" i="98"/>
  <c r="AK60" i="98"/>
  <c r="AJ60" i="98"/>
  <c r="AI60" i="98"/>
  <c r="AM59" i="98"/>
  <c r="AL59" i="98"/>
  <c r="AK59" i="98"/>
  <c r="AJ59" i="98"/>
  <c r="AI59" i="98"/>
  <c r="AM58" i="98"/>
  <c r="AL58" i="98"/>
  <c r="AK58" i="98"/>
  <c r="AJ58" i="98"/>
  <c r="AI58" i="98"/>
  <c r="AM57" i="98"/>
  <c r="AL57" i="98"/>
  <c r="AK57" i="98"/>
  <c r="AJ57" i="98"/>
  <c r="AI57" i="98"/>
  <c r="AM56" i="98"/>
  <c r="AL56" i="98"/>
  <c r="AK56" i="98"/>
  <c r="AJ56" i="98"/>
  <c r="AI56" i="98"/>
  <c r="AM55" i="98"/>
  <c r="AL55" i="98"/>
  <c r="AK55" i="98"/>
  <c r="AJ55" i="98"/>
  <c r="AI55" i="98"/>
  <c r="AM54" i="98"/>
  <c r="AL54" i="98"/>
  <c r="AK54" i="98"/>
  <c r="AJ54" i="98"/>
  <c r="AI54" i="98"/>
  <c r="AM53" i="98"/>
  <c r="AL53" i="98"/>
  <c r="AK53" i="98"/>
  <c r="AJ53" i="98"/>
  <c r="AI53" i="98"/>
  <c r="AM52" i="98"/>
  <c r="AL52" i="98"/>
  <c r="AK52" i="98"/>
  <c r="AJ52" i="98"/>
  <c r="AI52" i="98"/>
  <c r="AM51" i="98"/>
  <c r="AL51" i="98"/>
  <c r="AK51" i="98"/>
  <c r="AJ51" i="98"/>
  <c r="AI51" i="98"/>
  <c r="AM50" i="98"/>
  <c r="AL50" i="98"/>
  <c r="AK50" i="98"/>
  <c r="AJ50" i="98"/>
  <c r="AI50" i="98"/>
  <c r="AM49" i="98"/>
  <c r="AL49" i="98"/>
  <c r="AK49" i="98"/>
  <c r="AJ49" i="98"/>
  <c r="AI49" i="98"/>
  <c r="AM48" i="98"/>
  <c r="AL48" i="98"/>
  <c r="AK48" i="98"/>
  <c r="AJ48" i="98"/>
  <c r="AI48" i="98"/>
  <c r="AM47" i="98"/>
  <c r="AL47" i="98"/>
  <c r="AK47" i="98"/>
  <c r="AJ47" i="98"/>
  <c r="AI47" i="98"/>
  <c r="AM46" i="98"/>
  <c r="AL46" i="98"/>
  <c r="AK46" i="98"/>
  <c r="AJ46" i="98"/>
  <c r="AI46" i="98"/>
  <c r="AM45" i="98"/>
  <c r="AL45" i="98"/>
  <c r="AK45" i="98"/>
  <c r="AJ45" i="98"/>
  <c r="AI45" i="98"/>
  <c r="AM44" i="98"/>
  <c r="AL44" i="98"/>
  <c r="AK44" i="98"/>
  <c r="AJ44" i="98"/>
  <c r="AI44" i="98"/>
  <c r="AM43" i="98"/>
  <c r="AL43" i="98"/>
  <c r="AK43" i="98"/>
  <c r="AJ43" i="98"/>
  <c r="AI43" i="98"/>
  <c r="AM42" i="98"/>
  <c r="AL42" i="98"/>
  <c r="AK42" i="98"/>
  <c r="AJ42" i="98"/>
  <c r="AI42" i="98"/>
  <c r="AM41" i="98"/>
  <c r="AL41" i="98"/>
  <c r="AK41" i="98"/>
  <c r="AJ41" i="98"/>
  <c r="AI41" i="98"/>
  <c r="AM40" i="98"/>
  <c r="AL40" i="98"/>
  <c r="AK40" i="98"/>
  <c r="AJ40" i="98"/>
  <c r="AI40" i="98"/>
  <c r="AM39" i="98"/>
  <c r="AL39" i="98"/>
  <c r="AK39" i="98"/>
  <c r="AJ39" i="98"/>
  <c r="AI39" i="98"/>
  <c r="AM38" i="98"/>
  <c r="AL38" i="98"/>
  <c r="AK38" i="98"/>
  <c r="AJ38" i="98"/>
  <c r="AI38" i="98"/>
  <c r="AM37" i="98"/>
  <c r="AL37" i="98"/>
  <c r="AK37" i="98"/>
  <c r="AJ37" i="98"/>
  <c r="AI37" i="98"/>
  <c r="AM36" i="98"/>
  <c r="AL36" i="98"/>
  <c r="AK36" i="98"/>
  <c r="AJ36" i="98"/>
  <c r="AI36" i="98"/>
  <c r="AM35" i="98"/>
  <c r="AL35" i="98"/>
  <c r="AK35" i="98"/>
  <c r="AJ35" i="98"/>
  <c r="AI35" i="98"/>
  <c r="AM34" i="98"/>
  <c r="AL34" i="98"/>
  <c r="AK34" i="98"/>
  <c r="AJ34" i="98"/>
  <c r="AI34" i="98"/>
  <c r="AM33" i="98"/>
  <c r="AL33" i="98"/>
  <c r="AK33" i="98"/>
  <c r="AJ33" i="98"/>
  <c r="AI33" i="98"/>
  <c r="AM32" i="98"/>
  <c r="AL32" i="98"/>
  <c r="AK32" i="98"/>
  <c r="AJ32" i="98"/>
  <c r="AI32" i="98"/>
  <c r="AM31" i="98"/>
  <c r="AL31" i="98"/>
  <c r="AK31" i="98"/>
  <c r="AJ31" i="98"/>
  <c r="AI31" i="98"/>
  <c r="AM30" i="98"/>
  <c r="AL30" i="98"/>
  <c r="AK30" i="98"/>
  <c r="AJ30" i="98"/>
  <c r="AI30" i="98"/>
  <c r="AM29" i="98"/>
  <c r="AL29" i="98"/>
  <c r="AK29" i="98"/>
  <c r="AJ29" i="98"/>
  <c r="AI29" i="98"/>
  <c r="AM28" i="98"/>
  <c r="AL28" i="98"/>
  <c r="AK28" i="98"/>
  <c r="AJ28" i="98"/>
  <c r="AI28" i="98"/>
  <c r="AM27" i="98"/>
  <c r="AL27" i="98"/>
  <c r="AK27" i="98"/>
  <c r="AJ27" i="98"/>
  <c r="AI27" i="98"/>
  <c r="AM26" i="98"/>
  <c r="AL26" i="98"/>
  <c r="AK26" i="98"/>
  <c r="AJ26" i="98"/>
  <c r="AI26" i="98"/>
  <c r="AM25" i="98"/>
  <c r="AL25" i="98"/>
  <c r="AK25" i="98"/>
  <c r="AJ25" i="98"/>
  <c r="AI25" i="98"/>
  <c r="AM24" i="98"/>
  <c r="AL24" i="98"/>
  <c r="AK24" i="98"/>
  <c r="AJ24" i="98"/>
  <c r="AI24" i="98"/>
  <c r="AM23" i="98"/>
  <c r="AL23" i="98"/>
  <c r="AK23" i="98"/>
  <c r="AJ23" i="98"/>
  <c r="AI23" i="98"/>
  <c r="AM22" i="98"/>
  <c r="AL22" i="98"/>
  <c r="AK22" i="98"/>
  <c r="AJ22" i="98"/>
  <c r="AI22" i="98"/>
  <c r="AM21" i="98"/>
  <c r="AL21" i="98"/>
  <c r="AK21" i="98"/>
  <c r="AJ21" i="98"/>
  <c r="AI21" i="98"/>
  <c r="AM20" i="98"/>
  <c r="AL20" i="98"/>
  <c r="AK20" i="98"/>
  <c r="AJ20" i="98"/>
  <c r="AI20" i="98"/>
  <c r="AM19" i="98"/>
  <c r="AL19" i="98"/>
  <c r="AK19" i="98"/>
  <c r="AJ19" i="98"/>
  <c r="AI19" i="98"/>
  <c r="AM18" i="98"/>
  <c r="AL18" i="98"/>
  <c r="AK18" i="98"/>
  <c r="AJ18" i="98"/>
  <c r="AI18" i="98"/>
  <c r="AM17" i="98"/>
  <c r="AL17" i="98"/>
  <c r="AK17" i="98"/>
  <c r="AJ17" i="98"/>
  <c r="AI17" i="98"/>
  <c r="AM16" i="98"/>
  <c r="AL16" i="98"/>
  <c r="AK16" i="98"/>
  <c r="AJ16" i="98"/>
  <c r="AI16" i="98"/>
  <c r="AM15" i="98"/>
  <c r="AL15" i="98"/>
  <c r="AK15" i="98"/>
  <c r="AJ15" i="98"/>
  <c r="AI15" i="98"/>
  <c r="AM14" i="98"/>
  <c r="AL14" i="98"/>
  <c r="AK14" i="98"/>
  <c r="AJ14" i="98"/>
  <c r="AI14" i="98"/>
  <c r="AM13" i="98"/>
  <c r="AL13" i="98"/>
  <c r="AK13" i="98"/>
  <c r="AJ13" i="98"/>
  <c r="AI13" i="98"/>
  <c r="AM12" i="98"/>
  <c r="AL12" i="98"/>
  <c r="AK12" i="98"/>
  <c r="AJ12" i="98"/>
  <c r="AM11" i="98"/>
  <c r="AL11" i="98"/>
  <c r="AK11" i="98"/>
  <c r="AJ11" i="98"/>
  <c r="AI11" i="98"/>
  <c r="AI10" i="98"/>
  <c r="G22" i="65"/>
  <c r="G23" i="65"/>
  <c r="G24" i="65"/>
  <c r="AB24" i="65"/>
  <c r="AD10" i="98"/>
  <c r="AE10" i="98"/>
  <c r="AF10" i="98"/>
  <c r="AG10" i="98"/>
  <c r="AH10" i="98"/>
  <c r="AF25" i="16"/>
  <c r="M11" i="67" l="1"/>
  <c r="M12" i="67"/>
  <c r="M13" i="67"/>
  <c r="M14" i="67"/>
  <c r="M11" i="66"/>
  <c r="M12" i="66"/>
  <c r="M13" i="66"/>
  <c r="M14" i="66"/>
  <c r="M15" i="66"/>
  <c r="N64" i="98" s="1"/>
  <c r="M16" i="66"/>
  <c r="N65" i="98" s="1"/>
  <c r="M17" i="66"/>
  <c r="N66" i="98" s="1"/>
  <c r="M18" i="66"/>
  <c r="M19" i="66"/>
  <c r="N68" i="98" s="1"/>
  <c r="M18" i="65"/>
  <c r="M19" i="65"/>
  <c r="M20" i="65"/>
  <c r="M21" i="65"/>
  <c r="M22" i="65"/>
  <c r="N56" i="98" s="1"/>
  <c r="M23" i="65"/>
  <c r="N57" i="98" s="1"/>
  <c r="M24" i="65"/>
  <c r="N58" i="98" s="1"/>
  <c r="M11" i="25"/>
  <c r="M12" i="25"/>
  <c r="M13" i="25"/>
  <c r="M14" i="25"/>
  <c r="M16" i="25"/>
  <c r="N37" i="98" s="1"/>
  <c r="M17" i="25"/>
  <c r="M18" i="25"/>
  <c r="N39" i="98" s="1"/>
  <c r="M19" i="25"/>
  <c r="M20" i="25"/>
  <c r="M21" i="25"/>
  <c r="M22" i="25"/>
  <c r="M11" i="24"/>
  <c r="M12" i="24"/>
  <c r="M13" i="24"/>
  <c r="M14" i="24"/>
  <c r="M11" i="16"/>
  <c r="M12" i="16"/>
  <c r="M13" i="16"/>
  <c r="M14" i="16"/>
  <c r="M15" i="16"/>
  <c r="M16" i="16"/>
  <c r="M17" i="16"/>
  <c r="M18" i="16"/>
  <c r="M19" i="16"/>
  <c r="N19" i="98" s="1"/>
  <c r="M20" i="16"/>
  <c r="N20" i="98" s="1"/>
  <c r="M21" i="16"/>
  <c r="M22" i="16"/>
  <c r="M23" i="16"/>
  <c r="M24" i="16"/>
  <c r="M25" i="16"/>
  <c r="AG25" i="16"/>
  <c r="AG24" i="16"/>
  <c r="AG22" i="16"/>
  <c r="AG20" i="16"/>
  <c r="L41" i="41"/>
  <c r="L35" i="41"/>
  <c r="L37" i="41" s="1"/>
  <c r="L43" i="41" s="1"/>
  <c r="Z51" i="98"/>
  <c r="Y51" i="98"/>
  <c r="X51" i="98"/>
  <c r="W51" i="98"/>
  <c r="V51" i="98"/>
  <c r="U51" i="98"/>
  <c r="T51" i="98"/>
  <c r="S51" i="98"/>
  <c r="R51" i="98"/>
  <c r="Q51" i="98"/>
  <c r="P51" i="98"/>
  <c r="O51" i="98"/>
  <c r="N51" i="98"/>
  <c r="M51" i="98"/>
  <c r="L51" i="98"/>
  <c r="K51" i="98"/>
  <c r="J51" i="98"/>
  <c r="I51" i="98"/>
  <c r="H51" i="98"/>
  <c r="G51" i="98"/>
  <c r="AH61" i="98"/>
  <c r="Z61" i="98"/>
  <c r="Y61" i="98"/>
  <c r="X61" i="98"/>
  <c r="W61" i="98"/>
  <c r="V61" i="98"/>
  <c r="U61" i="98"/>
  <c r="T61" i="98"/>
  <c r="S61" i="98"/>
  <c r="R61" i="98"/>
  <c r="Q61" i="98"/>
  <c r="P61" i="98"/>
  <c r="N61" i="98"/>
  <c r="M61" i="98"/>
  <c r="L61" i="98"/>
  <c r="K61" i="98"/>
  <c r="J61" i="98"/>
  <c r="I61" i="98"/>
  <c r="H61" i="98"/>
  <c r="G61" i="98"/>
  <c r="AH63" i="98"/>
  <c r="AG63" i="98"/>
  <c r="AF63" i="98"/>
  <c r="AE63" i="98"/>
  <c r="AC63" i="98"/>
  <c r="AB63" i="98"/>
  <c r="AN63" i="98" s="1"/>
  <c r="Z63" i="98"/>
  <c r="Y63" i="98"/>
  <c r="X63" i="98"/>
  <c r="W63" i="98"/>
  <c r="V63" i="98"/>
  <c r="U63" i="98"/>
  <c r="T63" i="98"/>
  <c r="S63" i="98"/>
  <c r="R63" i="98"/>
  <c r="Q63" i="98"/>
  <c r="P63" i="98"/>
  <c r="N63" i="98"/>
  <c r="M63" i="98"/>
  <c r="L63" i="98"/>
  <c r="K63" i="98"/>
  <c r="J63" i="98"/>
  <c r="I63" i="98"/>
  <c r="H63" i="98"/>
  <c r="G63" i="98"/>
  <c r="AH45" i="98"/>
  <c r="Z45" i="98"/>
  <c r="Y45" i="98"/>
  <c r="X45" i="98"/>
  <c r="W45" i="98"/>
  <c r="V45" i="98"/>
  <c r="U45" i="98"/>
  <c r="T45" i="98"/>
  <c r="S45" i="98"/>
  <c r="R45" i="98"/>
  <c r="Q45" i="98"/>
  <c r="P45" i="98"/>
  <c r="O45" i="98"/>
  <c r="N45" i="98"/>
  <c r="M45" i="98"/>
  <c r="L45" i="98"/>
  <c r="K45" i="98"/>
  <c r="J45" i="98"/>
  <c r="I45" i="98"/>
  <c r="H45" i="98"/>
  <c r="G45" i="98"/>
  <c r="AH66" i="98"/>
  <c r="Z66" i="98"/>
  <c r="Y66" i="98"/>
  <c r="X66" i="98"/>
  <c r="W66" i="98"/>
  <c r="V66" i="98"/>
  <c r="U66" i="98"/>
  <c r="T66" i="98"/>
  <c r="S66" i="98"/>
  <c r="R66" i="98"/>
  <c r="Q66" i="98"/>
  <c r="P66" i="98"/>
  <c r="M66" i="98"/>
  <c r="L66" i="98"/>
  <c r="K66" i="98"/>
  <c r="J66" i="98"/>
  <c r="I66" i="98"/>
  <c r="H66" i="98"/>
  <c r="G66" i="98"/>
  <c r="Z64" i="98"/>
  <c r="Y64" i="98"/>
  <c r="X64" i="98"/>
  <c r="W64" i="98"/>
  <c r="V64" i="98"/>
  <c r="U64" i="98"/>
  <c r="T64" i="98"/>
  <c r="S64" i="98"/>
  <c r="R64" i="98"/>
  <c r="Q64" i="98"/>
  <c r="P64" i="98"/>
  <c r="M64" i="98"/>
  <c r="L64" i="98"/>
  <c r="K64" i="98"/>
  <c r="J64" i="98"/>
  <c r="I64" i="98"/>
  <c r="H64" i="98"/>
  <c r="G64" i="98"/>
  <c r="AH59" i="98"/>
  <c r="AG59" i="98"/>
  <c r="AF59" i="98"/>
  <c r="AE59" i="98"/>
  <c r="AD59" i="98"/>
  <c r="AC59" i="98"/>
  <c r="AB59" i="98"/>
  <c r="Z59" i="98"/>
  <c r="Y59" i="98"/>
  <c r="X59" i="98"/>
  <c r="W59" i="98"/>
  <c r="V59" i="98"/>
  <c r="U59" i="98"/>
  <c r="T59" i="98"/>
  <c r="S59" i="98"/>
  <c r="R59" i="98"/>
  <c r="Q59" i="98"/>
  <c r="P59" i="98"/>
  <c r="O59" i="98"/>
  <c r="N59" i="98"/>
  <c r="M59" i="98"/>
  <c r="L59" i="98"/>
  <c r="K59" i="98"/>
  <c r="J59" i="98"/>
  <c r="I59" i="98"/>
  <c r="H59" i="98"/>
  <c r="G59" i="98"/>
  <c r="AH60" i="98"/>
  <c r="AG60" i="98"/>
  <c r="AF60" i="98"/>
  <c r="AE60" i="98"/>
  <c r="AC60" i="98"/>
  <c r="AB60" i="98"/>
  <c r="Z60" i="98"/>
  <c r="Y60" i="98"/>
  <c r="X60" i="98"/>
  <c r="W60" i="98"/>
  <c r="V60" i="98"/>
  <c r="U60" i="98"/>
  <c r="T60" i="98"/>
  <c r="S60" i="98"/>
  <c r="R60" i="98"/>
  <c r="Q60" i="98"/>
  <c r="P60" i="98"/>
  <c r="N60" i="98"/>
  <c r="M60" i="98"/>
  <c r="L60" i="98"/>
  <c r="K60" i="98"/>
  <c r="AH71" i="98"/>
  <c r="Z71" i="98"/>
  <c r="Y71" i="98"/>
  <c r="X71" i="98"/>
  <c r="W71" i="98"/>
  <c r="V71" i="98"/>
  <c r="U71" i="98"/>
  <c r="T71" i="98"/>
  <c r="S71" i="98"/>
  <c r="R71" i="98"/>
  <c r="Q71" i="98"/>
  <c r="P71" i="98"/>
  <c r="N71" i="98"/>
  <c r="M71" i="98"/>
  <c r="L71" i="98"/>
  <c r="K71" i="98"/>
  <c r="J71" i="98"/>
  <c r="I71" i="98"/>
  <c r="H71" i="98"/>
  <c r="G71" i="98"/>
  <c r="Z72" i="98"/>
  <c r="Y72" i="98"/>
  <c r="X72" i="98"/>
  <c r="W72" i="98"/>
  <c r="V72" i="98"/>
  <c r="U72" i="98"/>
  <c r="T72" i="98"/>
  <c r="S72" i="98"/>
  <c r="R72" i="98"/>
  <c r="Q72" i="98"/>
  <c r="P72" i="98"/>
  <c r="N72" i="98"/>
  <c r="M72" i="98"/>
  <c r="L72" i="98"/>
  <c r="K72" i="98"/>
  <c r="J72" i="98"/>
  <c r="I72" i="98"/>
  <c r="H72" i="98"/>
  <c r="G72" i="98"/>
  <c r="Z69" i="98"/>
  <c r="Y69" i="98"/>
  <c r="X69" i="98"/>
  <c r="W69" i="98"/>
  <c r="V69" i="98"/>
  <c r="U69" i="98"/>
  <c r="T69" i="98"/>
  <c r="S69" i="98"/>
  <c r="R69" i="98"/>
  <c r="Q69" i="98"/>
  <c r="P69" i="98"/>
  <c r="O69" i="98"/>
  <c r="N69" i="98"/>
  <c r="M69" i="98"/>
  <c r="L69" i="98"/>
  <c r="K69" i="98"/>
  <c r="J69" i="98"/>
  <c r="I69" i="98"/>
  <c r="H69" i="98"/>
  <c r="G69" i="98"/>
  <c r="Z50" i="98"/>
  <c r="Y50" i="98"/>
  <c r="X50" i="98"/>
  <c r="W50" i="98"/>
  <c r="V50" i="98"/>
  <c r="U50" i="98"/>
  <c r="T50" i="98"/>
  <c r="S50" i="98"/>
  <c r="R50" i="98"/>
  <c r="Q50" i="98"/>
  <c r="P50" i="98"/>
  <c r="O50" i="98"/>
  <c r="N50" i="98"/>
  <c r="M50" i="98"/>
  <c r="L50" i="98"/>
  <c r="K50" i="98"/>
  <c r="J50" i="98"/>
  <c r="I50" i="98"/>
  <c r="H50" i="98"/>
  <c r="G50" i="98"/>
  <c r="AH49" i="98"/>
  <c r="AG49" i="98"/>
  <c r="AF49" i="98"/>
  <c r="AE49" i="98"/>
  <c r="AD49" i="98"/>
  <c r="AC49" i="98"/>
  <c r="AB49" i="98"/>
  <c r="Z49" i="98"/>
  <c r="Y49" i="98"/>
  <c r="X49" i="98"/>
  <c r="W49" i="98"/>
  <c r="V49" i="98"/>
  <c r="U49" i="98"/>
  <c r="T49" i="98"/>
  <c r="S49" i="98"/>
  <c r="R49" i="98"/>
  <c r="Q49" i="98"/>
  <c r="P49" i="98"/>
  <c r="O49" i="98"/>
  <c r="N49" i="98"/>
  <c r="M49" i="98"/>
  <c r="L49" i="98"/>
  <c r="K49" i="98"/>
  <c r="J49" i="98"/>
  <c r="I49" i="98"/>
  <c r="H49" i="98"/>
  <c r="G49" i="98"/>
  <c r="AH46" i="98"/>
  <c r="Z46" i="98"/>
  <c r="Y46" i="98"/>
  <c r="X46" i="98"/>
  <c r="W46" i="98"/>
  <c r="V46" i="98"/>
  <c r="U46" i="98"/>
  <c r="T46" i="98"/>
  <c r="S46" i="98"/>
  <c r="R46" i="98"/>
  <c r="Q46" i="98"/>
  <c r="P46" i="98"/>
  <c r="O46" i="98"/>
  <c r="N46" i="98"/>
  <c r="M46" i="98"/>
  <c r="L46" i="98"/>
  <c r="K46" i="98"/>
  <c r="J46" i="98"/>
  <c r="I46" i="98"/>
  <c r="H46" i="98"/>
  <c r="G46" i="98"/>
  <c r="Z73" i="98"/>
  <c r="Y73" i="98"/>
  <c r="X73" i="98"/>
  <c r="W73" i="98"/>
  <c r="V73" i="98"/>
  <c r="U73" i="98"/>
  <c r="T73" i="98"/>
  <c r="S73" i="98"/>
  <c r="R73" i="98"/>
  <c r="Q73" i="98"/>
  <c r="P73" i="98"/>
  <c r="N73" i="98"/>
  <c r="M73" i="98"/>
  <c r="L73" i="98"/>
  <c r="K73" i="98"/>
  <c r="J73" i="98"/>
  <c r="I73" i="98"/>
  <c r="H73" i="98"/>
  <c r="G73" i="98"/>
  <c r="Z70" i="98"/>
  <c r="Y70" i="98"/>
  <c r="X70" i="98"/>
  <c r="W70" i="98"/>
  <c r="V70" i="98"/>
  <c r="U70" i="98"/>
  <c r="T70" i="98"/>
  <c r="S70" i="98"/>
  <c r="R70" i="98"/>
  <c r="Q70" i="98"/>
  <c r="P70" i="98"/>
  <c r="N70" i="98"/>
  <c r="M70" i="98"/>
  <c r="L70" i="98"/>
  <c r="K70" i="98"/>
  <c r="J70" i="98"/>
  <c r="I70" i="98"/>
  <c r="H70" i="98"/>
  <c r="G70" i="98"/>
  <c r="AH56" i="98"/>
  <c r="Z56" i="98"/>
  <c r="Y56" i="98"/>
  <c r="X56" i="98"/>
  <c r="W56" i="98"/>
  <c r="V56" i="98"/>
  <c r="U56" i="98"/>
  <c r="T56" i="98"/>
  <c r="S56" i="98"/>
  <c r="R56" i="98"/>
  <c r="Q56" i="98"/>
  <c r="P56" i="98"/>
  <c r="M56" i="98"/>
  <c r="L56" i="98"/>
  <c r="K56" i="98"/>
  <c r="J56" i="98"/>
  <c r="I56" i="98"/>
  <c r="H56" i="98"/>
  <c r="G56" i="98"/>
  <c r="AH68" i="98"/>
  <c r="AG68" i="98"/>
  <c r="Z68" i="98"/>
  <c r="Y68" i="98"/>
  <c r="X68" i="98"/>
  <c r="W68" i="98"/>
  <c r="V68" i="98"/>
  <c r="U68" i="98"/>
  <c r="T68" i="98"/>
  <c r="S68" i="98"/>
  <c r="R68" i="98"/>
  <c r="Q68" i="98"/>
  <c r="P68" i="98"/>
  <c r="M68" i="98"/>
  <c r="L68" i="98"/>
  <c r="K68" i="98"/>
  <c r="J68" i="98"/>
  <c r="I68" i="98"/>
  <c r="H68" i="98"/>
  <c r="G68" i="98"/>
  <c r="AH67" i="98"/>
  <c r="AG67" i="98"/>
  <c r="AF67" i="98"/>
  <c r="AE67" i="98"/>
  <c r="AC67" i="98"/>
  <c r="AB67" i="98"/>
  <c r="AN67" i="98" s="1"/>
  <c r="Z67" i="98"/>
  <c r="Y67" i="98"/>
  <c r="X67" i="98"/>
  <c r="W67" i="98"/>
  <c r="V67" i="98"/>
  <c r="U67" i="98"/>
  <c r="T67" i="98"/>
  <c r="S67" i="98"/>
  <c r="R67" i="98"/>
  <c r="Q67" i="98"/>
  <c r="P67" i="98"/>
  <c r="N67" i="98"/>
  <c r="M67" i="98"/>
  <c r="L67" i="98"/>
  <c r="K67" i="98"/>
  <c r="J67" i="98"/>
  <c r="I67" i="98"/>
  <c r="H67" i="98"/>
  <c r="G67" i="98"/>
  <c r="AH65" i="98"/>
  <c r="Z65" i="98"/>
  <c r="Y65" i="98"/>
  <c r="X65" i="98"/>
  <c r="W65" i="98"/>
  <c r="V65" i="98"/>
  <c r="U65" i="98"/>
  <c r="T65" i="98"/>
  <c r="S65" i="98"/>
  <c r="R65" i="98"/>
  <c r="Q65" i="98"/>
  <c r="P65" i="98"/>
  <c r="M65" i="98"/>
  <c r="L65" i="98"/>
  <c r="K65" i="98"/>
  <c r="J65" i="98"/>
  <c r="I65" i="98"/>
  <c r="H65" i="98"/>
  <c r="G65" i="98"/>
  <c r="AH62" i="98"/>
  <c r="AF62" i="98"/>
  <c r="AE62" i="98"/>
  <c r="Z62" i="98"/>
  <c r="Y62" i="98"/>
  <c r="X62" i="98"/>
  <c r="W62" i="98"/>
  <c r="V62" i="98"/>
  <c r="U62" i="98"/>
  <c r="T62" i="98"/>
  <c r="S62" i="98"/>
  <c r="R62" i="98"/>
  <c r="Q62" i="98"/>
  <c r="P62" i="98"/>
  <c r="N62" i="98"/>
  <c r="M62" i="98"/>
  <c r="L62" i="98"/>
  <c r="K62" i="98"/>
  <c r="J62" i="98"/>
  <c r="I62" i="98"/>
  <c r="H62" i="98"/>
  <c r="G62" i="98"/>
  <c r="AH55" i="98"/>
  <c r="Z55" i="98"/>
  <c r="Y55" i="98"/>
  <c r="X55" i="98"/>
  <c r="W55" i="98"/>
  <c r="V55" i="98"/>
  <c r="U55" i="98"/>
  <c r="T55" i="98"/>
  <c r="S55" i="98"/>
  <c r="R55" i="98"/>
  <c r="Q55" i="98"/>
  <c r="P55" i="98"/>
  <c r="N55" i="98"/>
  <c r="M55" i="98"/>
  <c r="L55" i="98"/>
  <c r="K55" i="98"/>
  <c r="J55" i="98"/>
  <c r="I55" i="98"/>
  <c r="H55" i="98"/>
  <c r="G55" i="98"/>
  <c r="AH54" i="98"/>
  <c r="AG54" i="98"/>
  <c r="Z54" i="98"/>
  <c r="Y54" i="98"/>
  <c r="X54" i="98"/>
  <c r="W54" i="98"/>
  <c r="V54" i="98"/>
  <c r="U54" i="98"/>
  <c r="T54" i="98"/>
  <c r="S54" i="98"/>
  <c r="R54" i="98"/>
  <c r="Q54" i="98"/>
  <c r="P54" i="98"/>
  <c r="N54" i="98"/>
  <c r="M54" i="98"/>
  <c r="L54" i="98"/>
  <c r="K54" i="98"/>
  <c r="J54" i="98"/>
  <c r="I54" i="98"/>
  <c r="H54" i="98"/>
  <c r="G54" i="98"/>
  <c r="AG53" i="98"/>
  <c r="Z53" i="98"/>
  <c r="Y53" i="98"/>
  <c r="X53" i="98"/>
  <c r="W53" i="98"/>
  <c r="V53" i="98"/>
  <c r="U53" i="98"/>
  <c r="T53" i="98"/>
  <c r="S53" i="98"/>
  <c r="R53" i="98"/>
  <c r="Q53" i="98"/>
  <c r="P53" i="98"/>
  <c r="N53" i="98"/>
  <c r="M53" i="98"/>
  <c r="L53" i="98"/>
  <c r="K53" i="98"/>
  <c r="J53" i="98"/>
  <c r="I53" i="98"/>
  <c r="H53" i="98"/>
  <c r="G53" i="98"/>
  <c r="AH52" i="98"/>
  <c r="AG52" i="98"/>
  <c r="Z52" i="98"/>
  <c r="Y52" i="98"/>
  <c r="X52" i="98"/>
  <c r="W52" i="98"/>
  <c r="V52" i="98"/>
  <c r="U52" i="98"/>
  <c r="T52" i="98"/>
  <c r="S52" i="98"/>
  <c r="R52" i="98"/>
  <c r="Q52" i="98"/>
  <c r="P52" i="98"/>
  <c r="N52" i="98"/>
  <c r="M52" i="98"/>
  <c r="L52" i="98"/>
  <c r="K52" i="98"/>
  <c r="J52" i="98"/>
  <c r="I52" i="98"/>
  <c r="H52" i="98"/>
  <c r="G52" i="98"/>
  <c r="AH48" i="98"/>
  <c r="AG48" i="98"/>
  <c r="Z48" i="98"/>
  <c r="Y48" i="98"/>
  <c r="X48" i="98"/>
  <c r="W48" i="98"/>
  <c r="V48" i="98"/>
  <c r="U48" i="98"/>
  <c r="T48" i="98"/>
  <c r="S48" i="98"/>
  <c r="R48" i="98"/>
  <c r="Q48" i="98"/>
  <c r="P48" i="98"/>
  <c r="O48" i="98"/>
  <c r="N48" i="98"/>
  <c r="M48" i="98"/>
  <c r="L48" i="98"/>
  <c r="K48" i="98"/>
  <c r="J48" i="98"/>
  <c r="I48" i="98"/>
  <c r="H48" i="98"/>
  <c r="G48" i="98"/>
  <c r="AH47" i="98"/>
  <c r="AG47" i="98"/>
  <c r="Z47" i="98"/>
  <c r="Y47" i="98"/>
  <c r="X47" i="98"/>
  <c r="W47" i="98"/>
  <c r="V47" i="98"/>
  <c r="U47" i="98"/>
  <c r="T47" i="98"/>
  <c r="S47" i="98"/>
  <c r="R47" i="98"/>
  <c r="Q47" i="98"/>
  <c r="P47" i="98"/>
  <c r="O47" i="98"/>
  <c r="N47" i="98"/>
  <c r="M47" i="98"/>
  <c r="L47" i="98"/>
  <c r="K47" i="98"/>
  <c r="J47" i="98"/>
  <c r="I47" i="98"/>
  <c r="H47" i="98"/>
  <c r="G47" i="98"/>
  <c r="AH44" i="98"/>
  <c r="AG44" i="98"/>
  <c r="AF44" i="98"/>
  <c r="AE44" i="98"/>
  <c r="AD44" i="98"/>
  <c r="AC44" i="98"/>
  <c r="AB44" i="98"/>
  <c r="AN44" i="98" s="1"/>
  <c r="Z44" i="98"/>
  <c r="Y44" i="98"/>
  <c r="X44" i="98"/>
  <c r="W44" i="98"/>
  <c r="V44" i="98"/>
  <c r="U44" i="98"/>
  <c r="T44" i="98"/>
  <c r="S44" i="98"/>
  <c r="R44" i="98"/>
  <c r="Q44" i="98"/>
  <c r="P44" i="98"/>
  <c r="O44" i="98"/>
  <c r="N44" i="98"/>
  <c r="M44" i="98"/>
  <c r="L44" i="98"/>
  <c r="K44" i="98"/>
  <c r="J44" i="98"/>
  <c r="I44" i="98"/>
  <c r="H44" i="98"/>
  <c r="G44" i="98"/>
  <c r="Z39" i="98"/>
  <c r="Y39" i="98"/>
  <c r="X39" i="98"/>
  <c r="W39" i="98"/>
  <c r="V39" i="98"/>
  <c r="U39" i="98"/>
  <c r="T39" i="98"/>
  <c r="S39" i="98"/>
  <c r="R39" i="98"/>
  <c r="Q39" i="98"/>
  <c r="P39" i="98"/>
  <c r="M39" i="98"/>
  <c r="L39" i="98"/>
  <c r="K39" i="98"/>
  <c r="J39" i="98"/>
  <c r="I39" i="98"/>
  <c r="H39" i="98"/>
  <c r="G39" i="98"/>
  <c r="AH37" i="98"/>
  <c r="AG37" i="98"/>
  <c r="AF37" i="98"/>
  <c r="Z37" i="98"/>
  <c r="Y37" i="98"/>
  <c r="X37" i="98"/>
  <c r="W37" i="98"/>
  <c r="V37" i="98"/>
  <c r="U37" i="98"/>
  <c r="T37" i="98"/>
  <c r="S37" i="98"/>
  <c r="R37" i="98"/>
  <c r="Q37" i="98"/>
  <c r="P37" i="98"/>
  <c r="M37" i="98"/>
  <c r="L37" i="98"/>
  <c r="K37" i="98"/>
  <c r="J37" i="98"/>
  <c r="I37" i="98"/>
  <c r="H37" i="98"/>
  <c r="G37" i="98"/>
  <c r="Z26" i="98"/>
  <c r="Y26" i="98"/>
  <c r="X26" i="98"/>
  <c r="W26" i="98"/>
  <c r="V26" i="98"/>
  <c r="U26" i="98"/>
  <c r="T26" i="98"/>
  <c r="S26" i="98"/>
  <c r="R26" i="98"/>
  <c r="Q26" i="98"/>
  <c r="P26" i="98"/>
  <c r="O26" i="98"/>
  <c r="N26" i="98"/>
  <c r="M26" i="98"/>
  <c r="L26" i="98"/>
  <c r="K26" i="98"/>
  <c r="J26" i="98"/>
  <c r="I26" i="98"/>
  <c r="H26" i="98"/>
  <c r="G26" i="98"/>
  <c r="Z20" i="98"/>
  <c r="Y20" i="98"/>
  <c r="X20" i="98"/>
  <c r="W20" i="98"/>
  <c r="V20" i="98"/>
  <c r="U20" i="98"/>
  <c r="T20" i="98"/>
  <c r="S20" i="98"/>
  <c r="R20" i="98"/>
  <c r="Q20" i="98"/>
  <c r="P20" i="98"/>
  <c r="M20" i="98"/>
  <c r="L20" i="98"/>
  <c r="K20" i="98"/>
  <c r="J20" i="98"/>
  <c r="I20" i="98"/>
  <c r="H20" i="98"/>
  <c r="G20" i="98"/>
  <c r="Z14" i="98"/>
  <c r="Y14" i="98"/>
  <c r="X14" i="98"/>
  <c r="W14" i="98"/>
  <c r="V14" i="98"/>
  <c r="U14" i="98"/>
  <c r="T14" i="98"/>
  <c r="S14" i="98"/>
  <c r="R14" i="98"/>
  <c r="Q14" i="98"/>
  <c r="P14" i="98"/>
  <c r="N14" i="98"/>
  <c r="M14" i="98"/>
  <c r="L14" i="98"/>
  <c r="K14" i="98"/>
  <c r="J14" i="98"/>
  <c r="I14" i="98"/>
  <c r="H14" i="98"/>
  <c r="G14" i="98"/>
  <c r="Z33" i="98"/>
  <c r="Y33" i="98"/>
  <c r="X33" i="98"/>
  <c r="W33" i="98"/>
  <c r="V33" i="98"/>
  <c r="U33" i="98"/>
  <c r="T33" i="98"/>
  <c r="S33" i="98"/>
  <c r="R33" i="98"/>
  <c r="Q33" i="98"/>
  <c r="P33" i="98"/>
  <c r="N33" i="98"/>
  <c r="M33" i="98"/>
  <c r="L33" i="98"/>
  <c r="K33" i="98"/>
  <c r="J33" i="98"/>
  <c r="I33" i="98"/>
  <c r="H33" i="98"/>
  <c r="G33" i="98"/>
  <c r="Z28" i="98"/>
  <c r="Y28" i="98"/>
  <c r="X28" i="98"/>
  <c r="W28" i="98"/>
  <c r="V28" i="98"/>
  <c r="U28" i="98"/>
  <c r="T28" i="98"/>
  <c r="S28" i="98"/>
  <c r="R28" i="98"/>
  <c r="Q28" i="98"/>
  <c r="P28" i="98"/>
  <c r="N28" i="98"/>
  <c r="M28" i="98"/>
  <c r="L28" i="98"/>
  <c r="K28" i="98"/>
  <c r="J28" i="98"/>
  <c r="I28" i="98"/>
  <c r="H28" i="98"/>
  <c r="G28" i="98"/>
  <c r="Z21" i="98"/>
  <c r="Y21" i="98"/>
  <c r="X21" i="98"/>
  <c r="W21" i="98"/>
  <c r="V21" i="98"/>
  <c r="U21" i="98"/>
  <c r="T21" i="98"/>
  <c r="S21" i="98"/>
  <c r="R21" i="98"/>
  <c r="Q21" i="98"/>
  <c r="P21" i="98"/>
  <c r="N21" i="98"/>
  <c r="M21" i="98"/>
  <c r="L21" i="98"/>
  <c r="K21" i="98"/>
  <c r="J21" i="98"/>
  <c r="I21" i="98"/>
  <c r="H21" i="98"/>
  <c r="G21" i="98"/>
  <c r="Z23" i="98"/>
  <c r="Y23" i="98"/>
  <c r="X23" i="98"/>
  <c r="W23" i="98"/>
  <c r="V23" i="98"/>
  <c r="U23" i="98"/>
  <c r="T23" i="98"/>
  <c r="S23" i="98"/>
  <c r="R23" i="98"/>
  <c r="Q23" i="98"/>
  <c r="P23" i="98"/>
  <c r="N23" i="98"/>
  <c r="M23" i="98"/>
  <c r="L23" i="98"/>
  <c r="K23" i="98"/>
  <c r="J23" i="98"/>
  <c r="I23" i="98"/>
  <c r="H23" i="98"/>
  <c r="G23" i="98"/>
  <c r="Z19" i="98"/>
  <c r="Y19" i="98"/>
  <c r="X19" i="98"/>
  <c r="W19" i="98"/>
  <c r="V19" i="98"/>
  <c r="U19" i="98"/>
  <c r="T19" i="98"/>
  <c r="S19" i="98"/>
  <c r="R19" i="98"/>
  <c r="Q19" i="98"/>
  <c r="P19" i="98"/>
  <c r="M19" i="98"/>
  <c r="L19" i="98"/>
  <c r="K19" i="98"/>
  <c r="J19" i="98"/>
  <c r="I19" i="98"/>
  <c r="H19" i="98"/>
  <c r="G19" i="98"/>
  <c r="Z16" i="98"/>
  <c r="Y16" i="98"/>
  <c r="X16" i="98"/>
  <c r="W16" i="98"/>
  <c r="V16" i="98"/>
  <c r="U16" i="98"/>
  <c r="T16" i="98"/>
  <c r="S16" i="98"/>
  <c r="R16" i="98"/>
  <c r="Q16" i="98"/>
  <c r="P16" i="98"/>
  <c r="N16" i="98"/>
  <c r="M16" i="98"/>
  <c r="L16" i="98"/>
  <c r="K16" i="98"/>
  <c r="J16" i="98"/>
  <c r="I16" i="98"/>
  <c r="H16" i="98"/>
  <c r="G16" i="98"/>
  <c r="AH11" i="98"/>
  <c r="AG11" i="98"/>
  <c r="AF11" i="98"/>
  <c r="AE11" i="98"/>
  <c r="AC11" i="98"/>
  <c r="AB11" i="98"/>
  <c r="AN11" i="98" s="1"/>
  <c r="Z11" i="98"/>
  <c r="Y11" i="98"/>
  <c r="X11" i="98"/>
  <c r="W11" i="98"/>
  <c r="V11" i="98"/>
  <c r="U11" i="98"/>
  <c r="T11" i="98"/>
  <c r="S11" i="98"/>
  <c r="R11" i="98"/>
  <c r="Q11" i="98"/>
  <c r="P11" i="98"/>
  <c r="N11" i="98"/>
  <c r="M11" i="98"/>
  <c r="L11" i="98"/>
  <c r="K11" i="98"/>
  <c r="J11" i="98"/>
  <c r="I11" i="98"/>
  <c r="H11" i="98"/>
  <c r="G11" i="98"/>
  <c r="Z27" i="98"/>
  <c r="Y27" i="98"/>
  <c r="X27" i="98"/>
  <c r="W27" i="98"/>
  <c r="V27" i="98"/>
  <c r="U27" i="98"/>
  <c r="T27" i="98"/>
  <c r="S27" i="98"/>
  <c r="R27" i="98"/>
  <c r="Q27" i="98"/>
  <c r="P27" i="98"/>
  <c r="N27" i="98"/>
  <c r="M27" i="98"/>
  <c r="L27" i="98"/>
  <c r="K27" i="98"/>
  <c r="I27" i="98"/>
  <c r="Z43" i="98"/>
  <c r="Y43" i="98"/>
  <c r="X43" i="98"/>
  <c r="W43" i="98"/>
  <c r="V43" i="98"/>
  <c r="U43" i="98"/>
  <c r="T43" i="98"/>
  <c r="S43" i="98"/>
  <c r="R43" i="98"/>
  <c r="Q43" i="98"/>
  <c r="P43" i="98"/>
  <c r="N43" i="98"/>
  <c r="M43" i="98"/>
  <c r="L43" i="98"/>
  <c r="K43" i="98"/>
  <c r="J43" i="98"/>
  <c r="I43" i="98"/>
  <c r="H43" i="98"/>
  <c r="G43" i="98"/>
  <c r="Z30" i="98"/>
  <c r="Y30" i="98"/>
  <c r="X30" i="98"/>
  <c r="W30" i="98"/>
  <c r="V30" i="98"/>
  <c r="U30" i="98"/>
  <c r="T30" i="98"/>
  <c r="S30" i="98"/>
  <c r="R30" i="98"/>
  <c r="Q30" i="98"/>
  <c r="P30" i="98"/>
  <c r="N30" i="98"/>
  <c r="M30" i="98"/>
  <c r="L30" i="98"/>
  <c r="K30" i="98"/>
  <c r="J30" i="98"/>
  <c r="I30" i="98"/>
  <c r="H30" i="98"/>
  <c r="AO30" i="98" s="1"/>
  <c r="G30" i="98"/>
  <c r="Z10" i="98"/>
  <c r="Y10" i="98"/>
  <c r="X10" i="98"/>
  <c r="W10" i="98"/>
  <c r="V10" i="98"/>
  <c r="U10" i="98"/>
  <c r="T10" i="98"/>
  <c r="S10" i="98"/>
  <c r="R10" i="98"/>
  <c r="Q10" i="98"/>
  <c r="P10" i="98"/>
  <c r="O10" i="98"/>
  <c r="N10" i="98"/>
  <c r="M10" i="98"/>
  <c r="L10" i="98"/>
  <c r="AT10" i="98" s="1"/>
  <c r="K10" i="98"/>
  <c r="AS10" i="98" s="1"/>
  <c r="J10" i="98"/>
  <c r="AR10" i="98" s="1"/>
  <c r="I10" i="98"/>
  <c r="AQ10" i="98" s="1"/>
  <c r="H10" i="98"/>
  <c r="G10" i="98"/>
  <c r="Z35" i="98"/>
  <c r="Y35" i="98"/>
  <c r="X35" i="98"/>
  <c r="W35" i="98"/>
  <c r="V35" i="98"/>
  <c r="U35" i="98"/>
  <c r="T35" i="98"/>
  <c r="S35" i="98"/>
  <c r="R35" i="98"/>
  <c r="Q35" i="98"/>
  <c r="P35" i="98"/>
  <c r="N35" i="98"/>
  <c r="M35" i="98"/>
  <c r="L35" i="98"/>
  <c r="K35" i="98"/>
  <c r="J35" i="98"/>
  <c r="I35" i="98"/>
  <c r="H35" i="98"/>
  <c r="G35" i="98"/>
  <c r="AG24" i="98"/>
  <c r="AE24" i="98"/>
  <c r="Z24" i="98"/>
  <c r="Y24" i="98"/>
  <c r="X24" i="98"/>
  <c r="W24" i="98"/>
  <c r="V24" i="98"/>
  <c r="U24" i="98"/>
  <c r="T24" i="98"/>
  <c r="S24" i="98"/>
  <c r="R24" i="98"/>
  <c r="Q24" i="98"/>
  <c r="P24" i="98"/>
  <c r="N24" i="98"/>
  <c r="M24" i="98"/>
  <c r="L24" i="98"/>
  <c r="K24" i="98"/>
  <c r="J24" i="98"/>
  <c r="I24" i="98"/>
  <c r="H24" i="98"/>
  <c r="G24" i="98"/>
  <c r="AH58" i="98"/>
  <c r="AG58" i="98"/>
  <c r="AF58" i="98"/>
  <c r="AE58" i="98"/>
  <c r="AC58" i="98"/>
  <c r="AB58" i="98"/>
  <c r="Z58" i="98"/>
  <c r="Y58" i="98"/>
  <c r="X58" i="98"/>
  <c r="W58" i="98"/>
  <c r="V58" i="98"/>
  <c r="U58" i="98"/>
  <c r="T58" i="98"/>
  <c r="S58" i="98"/>
  <c r="R58" i="98"/>
  <c r="Q58" i="98"/>
  <c r="P58" i="98"/>
  <c r="M58" i="98"/>
  <c r="L58" i="98"/>
  <c r="K58" i="98"/>
  <c r="J58" i="98"/>
  <c r="I58" i="98"/>
  <c r="H58" i="98"/>
  <c r="G58" i="98"/>
  <c r="AG25" i="98"/>
  <c r="Z25" i="98"/>
  <c r="Y25" i="98"/>
  <c r="X25" i="98"/>
  <c r="W25" i="98"/>
  <c r="V25" i="98"/>
  <c r="U25" i="98"/>
  <c r="T25" i="98"/>
  <c r="S25" i="98"/>
  <c r="R25" i="98"/>
  <c r="Q25" i="98"/>
  <c r="P25" i="98"/>
  <c r="N25" i="98"/>
  <c r="M25" i="98"/>
  <c r="L25" i="98"/>
  <c r="K25" i="98"/>
  <c r="J25" i="98"/>
  <c r="I25" i="98"/>
  <c r="H25" i="98"/>
  <c r="G25" i="98"/>
  <c r="AH12" i="98"/>
  <c r="Z12" i="98"/>
  <c r="Y12" i="98"/>
  <c r="X12" i="98"/>
  <c r="W12" i="98"/>
  <c r="V12" i="98"/>
  <c r="U12" i="98"/>
  <c r="T12" i="98"/>
  <c r="S12" i="98"/>
  <c r="R12" i="98"/>
  <c r="Q12" i="98"/>
  <c r="P12" i="98"/>
  <c r="N12" i="98"/>
  <c r="L12" i="98"/>
  <c r="K12" i="98"/>
  <c r="J12" i="98"/>
  <c r="I12" i="98"/>
  <c r="H12" i="98"/>
  <c r="G12" i="98"/>
  <c r="AH34" i="98"/>
  <c r="AG34" i="98"/>
  <c r="AE34" i="98"/>
  <c r="Z34" i="98"/>
  <c r="Y34" i="98"/>
  <c r="X34" i="98"/>
  <c r="W34" i="98"/>
  <c r="V34" i="98"/>
  <c r="U34" i="98"/>
  <c r="T34" i="98"/>
  <c r="S34" i="98"/>
  <c r="R34" i="98"/>
  <c r="Q34" i="98"/>
  <c r="P34" i="98"/>
  <c r="N34" i="98"/>
  <c r="M34" i="98"/>
  <c r="L34" i="98"/>
  <c r="K34" i="98"/>
  <c r="J34" i="98"/>
  <c r="I34" i="98"/>
  <c r="H34" i="98"/>
  <c r="G34" i="98"/>
  <c r="AH57" i="98"/>
  <c r="Z57" i="98"/>
  <c r="Y57" i="98"/>
  <c r="X57" i="98"/>
  <c r="W57" i="98"/>
  <c r="V57" i="98"/>
  <c r="U57" i="98"/>
  <c r="T57" i="98"/>
  <c r="S57" i="98"/>
  <c r="R57" i="98"/>
  <c r="Q57" i="98"/>
  <c r="P57" i="98"/>
  <c r="M57" i="98"/>
  <c r="L57" i="98"/>
  <c r="K57" i="98"/>
  <c r="J57" i="98"/>
  <c r="I57" i="98"/>
  <c r="H57" i="98"/>
  <c r="G57" i="98"/>
  <c r="AH42" i="98"/>
  <c r="AG42" i="98"/>
  <c r="Z42" i="98"/>
  <c r="Y42" i="98"/>
  <c r="X42" i="98"/>
  <c r="W42" i="98"/>
  <c r="V42" i="98"/>
  <c r="U42" i="98"/>
  <c r="T42" i="98"/>
  <c r="S42" i="98"/>
  <c r="R42" i="98"/>
  <c r="Q42" i="98"/>
  <c r="P42" i="98"/>
  <c r="N42" i="98"/>
  <c r="M42" i="98"/>
  <c r="L42" i="98"/>
  <c r="K42" i="98"/>
  <c r="J42" i="98"/>
  <c r="I42" i="98"/>
  <c r="H42" i="98"/>
  <c r="G42" i="98"/>
  <c r="AH41" i="98"/>
  <c r="AG41" i="98"/>
  <c r="Z41" i="98"/>
  <c r="Y41" i="98"/>
  <c r="X41" i="98"/>
  <c r="W41" i="98"/>
  <c r="V41" i="98"/>
  <c r="U41" i="98"/>
  <c r="T41" i="98"/>
  <c r="S41" i="98"/>
  <c r="R41" i="98"/>
  <c r="Q41" i="98"/>
  <c r="P41" i="98"/>
  <c r="N41" i="98"/>
  <c r="M41" i="98"/>
  <c r="L41" i="98"/>
  <c r="K41" i="98"/>
  <c r="J41" i="98"/>
  <c r="I41" i="98"/>
  <c r="H41" i="98"/>
  <c r="G41" i="98"/>
  <c r="AH15" i="98"/>
  <c r="AG15" i="98"/>
  <c r="Z15" i="98"/>
  <c r="Y15" i="98"/>
  <c r="X15" i="98"/>
  <c r="W15" i="98"/>
  <c r="V15" i="98"/>
  <c r="U15" i="98"/>
  <c r="T15" i="98"/>
  <c r="S15" i="98"/>
  <c r="R15" i="98"/>
  <c r="Q15" i="98"/>
  <c r="P15" i="98"/>
  <c r="N15" i="98"/>
  <c r="M15" i="98"/>
  <c r="L15" i="98"/>
  <c r="K15" i="98"/>
  <c r="J15" i="98"/>
  <c r="I15" i="98"/>
  <c r="H15" i="98"/>
  <c r="G15" i="98"/>
  <c r="Z32" i="98"/>
  <c r="Y32" i="98"/>
  <c r="X32" i="98"/>
  <c r="W32" i="98"/>
  <c r="V32" i="98"/>
  <c r="U32" i="98"/>
  <c r="T32" i="98"/>
  <c r="S32" i="98"/>
  <c r="R32" i="98"/>
  <c r="Q32" i="98"/>
  <c r="P32" i="98"/>
  <c r="N32" i="98"/>
  <c r="M32" i="98"/>
  <c r="L32" i="98"/>
  <c r="K32" i="98"/>
  <c r="J32" i="98"/>
  <c r="I32" i="98"/>
  <c r="H32" i="98"/>
  <c r="G32" i="98"/>
  <c r="AH31" i="98"/>
  <c r="Z31" i="98"/>
  <c r="Y31" i="98"/>
  <c r="X31" i="98"/>
  <c r="W31" i="98"/>
  <c r="V31" i="98"/>
  <c r="U31" i="98"/>
  <c r="T31" i="98"/>
  <c r="S31" i="98"/>
  <c r="R31" i="98"/>
  <c r="Q31" i="98"/>
  <c r="P31" i="98"/>
  <c r="O31" i="98"/>
  <c r="N31" i="98"/>
  <c r="M31" i="98"/>
  <c r="L31" i="98"/>
  <c r="K31" i="98"/>
  <c r="J31" i="98"/>
  <c r="I31" i="98"/>
  <c r="H31" i="98"/>
  <c r="G31" i="98"/>
  <c r="AH17" i="98"/>
  <c r="AG17" i="98"/>
  <c r="Z17" i="98"/>
  <c r="Y17" i="98"/>
  <c r="X17" i="98"/>
  <c r="W17" i="98"/>
  <c r="V17" i="98"/>
  <c r="U17" i="98"/>
  <c r="T17" i="98"/>
  <c r="S17" i="98"/>
  <c r="R17" i="98"/>
  <c r="Q17" i="98"/>
  <c r="P17" i="98"/>
  <c r="N17" i="98"/>
  <c r="M17" i="98"/>
  <c r="L17" i="98"/>
  <c r="K17" i="98"/>
  <c r="J17" i="98"/>
  <c r="I17" i="98"/>
  <c r="H17" i="98"/>
  <c r="G17" i="98"/>
  <c r="Z13" i="98"/>
  <c r="Y13" i="98"/>
  <c r="X13" i="98"/>
  <c r="W13" i="98"/>
  <c r="V13" i="98"/>
  <c r="U13" i="98"/>
  <c r="T13" i="98"/>
  <c r="S13" i="98"/>
  <c r="R13" i="98"/>
  <c r="Q13" i="98"/>
  <c r="P13" i="98"/>
  <c r="N13" i="98"/>
  <c r="M13" i="98"/>
  <c r="L13" i="98"/>
  <c r="K13" i="98"/>
  <c r="J13" i="98"/>
  <c r="I13" i="98"/>
  <c r="H13" i="98"/>
  <c r="Z22" i="98"/>
  <c r="Y22" i="98"/>
  <c r="X22" i="98"/>
  <c r="W22" i="98"/>
  <c r="V22" i="98"/>
  <c r="U22" i="98"/>
  <c r="T22" i="98"/>
  <c r="S22" i="98"/>
  <c r="R22" i="98"/>
  <c r="Q22" i="98"/>
  <c r="P22" i="98"/>
  <c r="N22" i="98"/>
  <c r="M22" i="98"/>
  <c r="L22" i="98"/>
  <c r="K22" i="98"/>
  <c r="J22" i="98"/>
  <c r="I22" i="98"/>
  <c r="H22" i="98"/>
  <c r="G22" i="98"/>
  <c r="AH18" i="98"/>
  <c r="AG18" i="98"/>
  <c r="AF18" i="98"/>
  <c r="Z18" i="98"/>
  <c r="Y18" i="98"/>
  <c r="X18" i="98"/>
  <c r="W18" i="98"/>
  <c r="V18" i="98"/>
  <c r="U18" i="98"/>
  <c r="T18" i="98"/>
  <c r="S18" i="98"/>
  <c r="R18" i="98"/>
  <c r="Q18" i="98"/>
  <c r="P18" i="98"/>
  <c r="N18" i="98"/>
  <c r="M18" i="98"/>
  <c r="L18" i="98"/>
  <c r="K18" i="98"/>
  <c r="J18" i="98"/>
  <c r="I18" i="98"/>
  <c r="H18" i="98"/>
  <c r="G18" i="98"/>
  <c r="AH40" i="98"/>
  <c r="AG40" i="98"/>
  <c r="Z40" i="98"/>
  <c r="Y40" i="98"/>
  <c r="X40" i="98"/>
  <c r="W40" i="98"/>
  <c r="V40" i="98"/>
  <c r="U40" i="98"/>
  <c r="T40" i="98"/>
  <c r="S40" i="98"/>
  <c r="R40" i="98"/>
  <c r="Q40" i="98"/>
  <c r="P40" i="98"/>
  <c r="N40" i="98"/>
  <c r="M40" i="98"/>
  <c r="L40" i="98"/>
  <c r="K40" i="98"/>
  <c r="J40" i="98"/>
  <c r="I40" i="98"/>
  <c r="H40" i="98"/>
  <c r="G40" i="98"/>
  <c r="AH38" i="98"/>
  <c r="AG38" i="98"/>
  <c r="Z38" i="98"/>
  <c r="Y38" i="98"/>
  <c r="X38" i="98"/>
  <c r="W38" i="98"/>
  <c r="V38" i="98"/>
  <c r="U38" i="98"/>
  <c r="T38" i="98"/>
  <c r="S38" i="98"/>
  <c r="R38" i="98"/>
  <c r="Q38" i="98"/>
  <c r="P38" i="98"/>
  <c r="N38" i="98"/>
  <c r="M38" i="98"/>
  <c r="L38" i="98"/>
  <c r="K38" i="98"/>
  <c r="J38" i="98"/>
  <c r="I38" i="98"/>
  <c r="H38" i="98"/>
  <c r="G38" i="98"/>
  <c r="F75" i="98"/>
  <c r="AO14" i="98" l="1"/>
  <c r="AO70" i="98"/>
  <c r="AO59" i="98"/>
  <c r="AO11" i="98"/>
  <c r="AO48" i="98"/>
  <c r="AO63" i="98"/>
  <c r="AO31" i="98"/>
  <c r="AN58" i="98"/>
  <c r="AO53" i="98"/>
  <c r="AO25" i="98"/>
  <c r="AO21" i="98"/>
  <c r="AO67" i="98"/>
  <c r="AO22" i="98"/>
  <c r="AO15" i="98"/>
  <c r="AO44" i="98"/>
  <c r="AO24" i="98"/>
  <c r="AO10" i="98"/>
  <c r="AO16" i="98"/>
  <c r="AO33" i="98"/>
  <c r="AO49" i="98"/>
  <c r="AO26" i="98"/>
  <c r="AO52" i="98"/>
  <c r="AO46" i="98"/>
  <c r="AO50" i="98"/>
  <c r="AO51" i="98"/>
  <c r="AO62" i="98"/>
  <c r="AO45" i="98"/>
  <c r="AO61" i="98"/>
  <c r="AO32" i="98"/>
  <c r="AO12" i="98"/>
  <c r="AO43" i="98"/>
  <c r="AO58" i="98"/>
  <c r="AO66" i="98"/>
  <c r="AT67" i="98"/>
  <c r="AS67" i="98"/>
  <c r="AR67" i="98"/>
  <c r="AQ67" i="98"/>
  <c r="AT60" i="98"/>
  <c r="AS60" i="98"/>
  <c r="AO39" i="98"/>
  <c r="AT44" i="98"/>
  <c r="AS44" i="98"/>
  <c r="AR44" i="98"/>
  <c r="AQ44" i="98"/>
  <c r="AN49" i="98"/>
  <c r="AN59" i="98"/>
  <c r="AO18" i="98"/>
  <c r="AO17" i="98"/>
  <c r="AT58" i="98"/>
  <c r="AS58" i="98"/>
  <c r="AR58" i="98"/>
  <c r="AQ58" i="98"/>
  <c r="AO35" i="98"/>
  <c r="AO47" i="98"/>
  <c r="AO73" i="98"/>
  <c r="AO72" i="98"/>
  <c r="AO37" i="98"/>
  <c r="AO13" i="98"/>
  <c r="AO34" i="98"/>
  <c r="AT11" i="98"/>
  <c r="AS11" i="98"/>
  <c r="AR11" i="98"/>
  <c r="AQ11" i="98"/>
  <c r="AT49" i="98"/>
  <c r="AS49" i="98"/>
  <c r="AR49" i="98"/>
  <c r="AQ49" i="98"/>
  <c r="AO69" i="98"/>
  <c r="AT59" i="98"/>
  <c r="AQ59" i="98"/>
  <c r="AS59" i="98"/>
  <c r="AR59" i="98"/>
  <c r="AT63" i="98"/>
  <c r="AS63" i="98"/>
  <c r="AR63" i="98"/>
  <c r="AQ63" i="98"/>
  <c r="AO19" i="98"/>
  <c r="AO64" i="98"/>
  <c r="AO57" i="98"/>
  <c r="AO71" i="98"/>
  <c r="AO65" i="98"/>
  <c r="AO54" i="98"/>
  <c r="AO42" i="98"/>
  <c r="AO28" i="98"/>
  <c r="AO23" i="98"/>
  <c r="AO20" i="98"/>
  <c r="AO40" i="98"/>
  <c r="AO68" i="98"/>
  <c r="AO41" i="98"/>
  <c r="AO55" i="98"/>
  <c r="AO56" i="98"/>
  <c r="AO38" i="98"/>
  <c r="Z18" i="66" l="1"/>
  <c r="Z14" i="66"/>
  <c r="Z11" i="66"/>
  <c r="Z10" i="66"/>
  <c r="Z10" i="65"/>
  <c r="F19" i="16"/>
  <c r="AG18" i="16"/>
  <c r="AA59" i="98" l="1"/>
  <c r="AA60" i="98"/>
  <c r="AA44" i="98"/>
  <c r="AA67" i="98"/>
  <c r="AA63" i="98"/>
  <c r="Y18" i="65"/>
  <c r="X18" i="65"/>
  <c r="W18" i="65"/>
  <c r="V18" i="65"/>
  <c r="U18" i="65"/>
  <c r="T18" i="65"/>
  <c r="T19" i="65"/>
  <c r="S18" i="65"/>
  <c r="AG24" i="65"/>
  <c r="AF24" i="65"/>
  <c r="AE24" i="65"/>
  <c r="Y24" i="65"/>
  <c r="X24" i="65"/>
  <c r="W24" i="65"/>
  <c r="V24" i="65"/>
  <c r="U24" i="65"/>
  <c r="T24" i="65"/>
  <c r="S24" i="65"/>
  <c r="R24" i="65"/>
  <c r="Q24" i="65"/>
  <c r="P24" i="65"/>
  <c r="O24" i="65"/>
  <c r="L24" i="65"/>
  <c r="K24" i="65"/>
  <c r="J24" i="65"/>
  <c r="I24" i="65"/>
  <c r="H24" i="65"/>
  <c r="F24" i="65"/>
  <c r="AG23" i="65"/>
  <c r="Y23" i="65"/>
  <c r="X23" i="65"/>
  <c r="W23" i="65"/>
  <c r="V23" i="65"/>
  <c r="U23" i="65"/>
  <c r="T23" i="65"/>
  <c r="S23" i="65"/>
  <c r="R23" i="65"/>
  <c r="Q23" i="65"/>
  <c r="P23" i="65"/>
  <c r="O23" i="65"/>
  <c r="L23" i="65"/>
  <c r="K23" i="65"/>
  <c r="J23" i="65"/>
  <c r="I23" i="65"/>
  <c r="H23" i="65"/>
  <c r="F23" i="65"/>
  <c r="N24" i="65"/>
  <c r="O58" i="98" s="1"/>
  <c r="N23" i="65" l="1"/>
  <c r="O57" i="98" s="1"/>
  <c r="M10" i="67" l="1"/>
  <c r="M10" i="66"/>
  <c r="M17" i="65"/>
  <c r="M16" i="65"/>
  <c r="M15" i="65"/>
  <c r="M14" i="65"/>
  <c r="M13" i="65"/>
  <c r="M12" i="65"/>
  <c r="M11" i="65"/>
  <c r="M10" i="65"/>
  <c r="M10" i="25"/>
  <c r="M10" i="24"/>
  <c r="M10" i="16"/>
  <c r="D12" i="19"/>
  <c r="D7" i="19"/>
  <c r="E10" i="31"/>
  <c r="E12" i="34"/>
  <c r="D12" i="34"/>
  <c r="E10" i="34"/>
  <c r="D7" i="34"/>
  <c r="E7" i="34" s="1"/>
  <c r="E10" i="35"/>
  <c r="E7" i="35"/>
  <c r="D7" i="35"/>
  <c r="E10" i="36"/>
  <c r="D7" i="36"/>
  <c r="E7" i="36" s="1"/>
  <c r="E10" i="37"/>
  <c r="D7" i="37"/>
  <c r="E7" i="37" s="1"/>
  <c r="E10" i="38"/>
  <c r="D7" i="38"/>
  <c r="E7" i="38" s="1"/>
  <c r="E10" i="39"/>
  <c r="E7" i="39"/>
  <c r="D7" i="39"/>
  <c r="E10" i="40"/>
  <c r="D7" i="40"/>
  <c r="E7" i="40" s="1"/>
  <c r="E10" i="41"/>
  <c r="D7" i="41"/>
  <c r="E7" i="41" s="1"/>
  <c r="E10" i="42"/>
  <c r="D7" i="42"/>
  <c r="E7" i="42" s="1"/>
  <c r="E10" i="43"/>
  <c r="E7" i="43"/>
  <c r="D7" i="43"/>
  <c r="E10" i="44"/>
  <c r="E10" i="45"/>
  <c r="D7" i="45"/>
  <c r="E7" i="45" s="1"/>
  <c r="E10" i="46"/>
  <c r="D7" i="46"/>
  <c r="E7" i="46" s="1"/>
  <c r="E10" i="47"/>
  <c r="E7" i="47"/>
  <c r="D7" i="47"/>
  <c r="E10" i="48"/>
  <c r="D7" i="48"/>
  <c r="E7" i="48" s="1"/>
  <c r="E10" i="32"/>
  <c r="D7" i="32"/>
  <c r="E7" i="32" s="1"/>
  <c r="E10" i="49"/>
  <c r="E10" i="50"/>
  <c r="E7" i="50"/>
  <c r="D7" i="50"/>
  <c r="E10" i="51"/>
  <c r="D7" i="51"/>
  <c r="E7" i="51" s="1"/>
  <c r="E10" i="52"/>
  <c r="D7" i="52"/>
  <c r="E7" i="52" s="1"/>
  <c r="E10" i="33"/>
  <c r="D7" i="33"/>
  <c r="E7" i="33" s="1"/>
  <c r="E10" i="53"/>
  <c r="E7" i="53"/>
  <c r="D7" i="53"/>
  <c r="E10" i="54"/>
  <c r="D7" i="54"/>
  <c r="E7" i="54" s="1"/>
  <c r="E10" i="55"/>
  <c r="E7" i="55"/>
  <c r="D7" i="55"/>
  <c r="E10" i="56"/>
  <c r="D7" i="56"/>
  <c r="E7" i="56" s="1"/>
  <c r="E10" i="57"/>
  <c r="E10" i="58"/>
  <c r="D7" i="58"/>
  <c r="E7" i="58" s="1"/>
  <c r="E10" i="59"/>
  <c r="D7" i="59"/>
  <c r="E7" i="59" s="1"/>
  <c r="E10" i="60"/>
  <c r="D7" i="60"/>
  <c r="E7" i="60" s="1"/>
  <c r="E10" i="61"/>
  <c r="E7" i="61"/>
  <c r="D7" i="61"/>
  <c r="E10" i="62"/>
  <c r="E10" i="63"/>
  <c r="E7" i="63"/>
  <c r="D7" i="63"/>
  <c r="E10" i="64"/>
  <c r="D7" i="64"/>
  <c r="E7" i="64" s="1"/>
  <c r="D12" i="68"/>
  <c r="E12" i="68" s="1"/>
  <c r="E10" i="68"/>
  <c r="E7" i="68"/>
  <c r="D7" i="68"/>
  <c r="E10" i="69"/>
  <c r="D7" i="69"/>
  <c r="E7" i="69" s="1"/>
  <c r="E10" i="70"/>
  <c r="E7" i="70"/>
  <c r="D7" i="70"/>
  <c r="E10" i="71"/>
  <c r="D7" i="71"/>
  <c r="E7" i="71" s="1"/>
  <c r="E10" i="72"/>
  <c r="E7" i="72"/>
  <c r="D7" i="72"/>
  <c r="E10" i="73"/>
  <c r="D7" i="73"/>
  <c r="E7" i="73" s="1"/>
  <c r="E10" i="74"/>
  <c r="E7" i="74"/>
  <c r="D7" i="74"/>
  <c r="E10" i="75"/>
  <c r="D7" i="75"/>
  <c r="E7" i="75" s="1"/>
  <c r="E10" i="76"/>
  <c r="E10" i="77"/>
  <c r="D7" i="77"/>
  <c r="E7" i="77" s="1"/>
  <c r="E10" i="78"/>
  <c r="E7" i="78"/>
  <c r="D7" i="78"/>
  <c r="E10" i="79"/>
  <c r="D7" i="79"/>
  <c r="E7" i="79" s="1"/>
  <c r="E10" i="80"/>
  <c r="E7" i="80"/>
  <c r="D7" i="80"/>
  <c r="E10" i="81"/>
  <c r="D7" i="81"/>
  <c r="E7" i="81" s="1"/>
  <c r="E10" i="82"/>
  <c r="E7" i="82"/>
  <c r="D7" i="82"/>
  <c r="E10" i="83"/>
  <c r="D7" i="83"/>
  <c r="E7" i="83" s="1"/>
  <c r="E10" i="84"/>
  <c r="E10" i="85"/>
  <c r="D7" i="85"/>
  <c r="E7" i="85" s="1"/>
  <c r="E10" i="86"/>
  <c r="E12" i="87"/>
  <c r="D12" i="87"/>
  <c r="E10" i="87"/>
  <c r="D7" i="87"/>
  <c r="E7" i="87" s="1"/>
  <c r="E10" i="88"/>
  <c r="E7" i="88"/>
  <c r="D7" i="88"/>
  <c r="E10" i="89"/>
  <c r="D7" i="89"/>
  <c r="E7" i="89" s="1"/>
  <c r="E10" i="90"/>
  <c r="E7" i="90"/>
  <c r="D7" i="90"/>
  <c r="E12" i="91"/>
  <c r="D12" i="91"/>
  <c r="E10" i="91"/>
  <c r="D7" i="91"/>
  <c r="E7" i="91" s="1"/>
  <c r="E10" i="92"/>
  <c r="E7" i="92"/>
  <c r="D7" i="92"/>
  <c r="E10" i="93"/>
  <c r="D7" i="93"/>
  <c r="E7" i="93" s="1"/>
  <c r="E10" i="95"/>
  <c r="E7" i="95"/>
  <c r="D7" i="95"/>
  <c r="E10" i="94"/>
  <c r="D7" i="94"/>
  <c r="E7" i="94" s="1"/>
  <c r="E10" i="96"/>
  <c r="E7" i="96"/>
  <c r="D7" i="96"/>
  <c r="E10" i="97"/>
  <c r="D7" i="97"/>
  <c r="E7" i="97" s="1"/>
  <c r="S9" i="92"/>
  <c r="Q9" i="92"/>
  <c r="S9" i="91"/>
  <c r="Q9" i="91"/>
  <c r="S9" i="90"/>
  <c r="Q9" i="90"/>
  <c r="S9" i="89"/>
  <c r="Q9" i="89"/>
  <c r="S9" i="88"/>
  <c r="Q9" i="88"/>
  <c r="S9" i="87"/>
  <c r="Q9" i="87"/>
  <c r="S9" i="86"/>
  <c r="Q9" i="86"/>
  <c r="S9" i="85"/>
  <c r="Q9" i="85"/>
  <c r="S9" i="84"/>
  <c r="Q9" i="84"/>
  <c r="S9" i="83"/>
  <c r="Q9" i="83"/>
  <c r="S9" i="82"/>
  <c r="Q9" i="82"/>
  <c r="S9" i="81"/>
  <c r="Q9" i="81"/>
  <c r="S9" i="80"/>
  <c r="Q9" i="80"/>
  <c r="S9" i="79"/>
  <c r="Q9" i="79"/>
  <c r="S9" i="78"/>
  <c r="Q9" i="78"/>
  <c r="S9" i="48"/>
  <c r="Q9" i="48"/>
  <c r="S9" i="47"/>
  <c r="Q9" i="47"/>
  <c r="S9" i="46"/>
  <c r="Q9" i="46"/>
  <c r="S9" i="45"/>
  <c r="Q9" i="45"/>
  <c r="S9" i="77"/>
  <c r="Q9" i="77"/>
  <c r="S9" i="76"/>
  <c r="Q9" i="76"/>
  <c r="S9" i="75"/>
  <c r="Q9" i="75"/>
  <c r="S9" i="74"/>
  <c r="Q9" i="74"/>
  <c r="S9" i="73"/>
  <c r="Q9" i="73"/>
  <c r="S9" i="72"/>
  <c r="Q9" i="72"/>
  <c r="S9" i="71"/>
  <c r="Q9" i="71"/>
  <c r="S9" i="70"/>
  <c r="Q9" i="70"/>
  <c r="S9" i="69"/>
  <c r="Q9" i="69"/>
  <c r="S9" i="68"/>
  <c r="Q9" i="68"/>
  <c r="S9" i="97" l="1"/>
  <c r="Q9" i="97"/>
  <c r="S9" i="96"/>
  <c r="Q9" i="96"/>
  <c r="S9" i="94"/>
  <c r="Q9" i="94"/>
  <c r="S9" i="95"/>
  <c r="Q9" i="95"/>
  <c r="S9" i="93"/>
  <c r="Q9" i="93"/>
  <c r="S9" i="64"/>
  <c r="Q9" i="64"/>
  <c r="S9" i="63"/>
  <c r="Q9" i="63"/>
  <c r="S9" i="62"/>
  <c r="Q9" i="62"/>
  <c r="S9" i="61"/>
  <c r="Q9" i="61"/>
  <c r="S9" i="60"/>
  <c r="Q9" i="60"/>
  <c r="S9" i="59"/>
  <c r="S9" i="58"/>
  <c r="Q9" i="58"/>
  <c r="S9" i="57"/>
  <c r="Q9" i="57"/>
  <c r="S9" i="56"/>
  <c r="Q9" i="56"/>
  <c r="S9" i="55"/>
  <c r="Q9" i="55"/>
  <c r="S9" i="54"/>
  <c r="Q9" i="54"/>
  <c r="S9" i="53"/>
  <c r="Q9" i="53"/>
  <c r="S9" i="33"/>
  <c r="Q9" i="33"/>
  <c r="S9" i="52"/>
  <c r="Q9" i="52"/>
  <c r="S9" i="51"/>
  <c r="Q9" i="51"/>
  <c r="S9" i="50"/>
  <c r="Q9" i="50"/>
  <c r="S9" i="49"/>
  <c r="Q9" i="49"/>
  <c r="S9" i="32"/>
  <c r="Q9" i="32"/>
  <c r="S9" i="44"/>
  <c r="Q9" i="44"/>
  <c r="S9" i="43"/>
  <c r="Q9" i="43"/>
  <c r="S9" i="42"/>
  <c r="Q9" i="42"/>
  <c r="S9" i="41"/>
  <c r="Q9" i="41"/>
  <c r="S9" i="40"/>
  <c r="Q9" i="40"/>
  <c r="S9" i="39"/>
  <c r="Q9" i="39"/>
  <c r="S9" i="38"/>
  <c r="Q9" i="38"/>
  <c r="S9" i="37"/>
  <c r="Q9" i="37"/>
  <c r="S9" i="36"/>
  <c r="Q9" i="36"/>
  <c r="S9" i="35"/>
  <c r="Q9" i="35"/>
  <c r="S9" i="34"/>
  <c r="Q9" i="34"/>
  <c r="S9" i="31"/>
  <c r="Q9" i="31"/>
  <c r="S9" i="19"/>
  <c r="Q9" i="19"/>
  <c r="G3" i="22" l="1"/>
  <c r="H3" i="22"/>
  <c r="I3" i="22"/>
  <c r="L3" i="22"/>
  <c r="K3" i="22"/>
  <c r="J3" i="22"/>
  <c r="C2" i="22" l="1"/>
  <c r="AE14" i="67"/>
  <c r="AF73" i="98" s="1"/>
  <c r="Y14" i="67"/>
  <c r="X14" i="67"/>
  <c r="W14" i="67"/>
  <c r="V14" i="67"/>
  <c r="U14" i="67"/>
  <c r="T14" i="67"/>
  <c r="S14" i="67"/>
  <c r="R14" i="67"/>
  <c r="Q14" i="67"/>
  <c r="P14" i="67"/>
  <c r="O14" i="67"/>
  <c r="L14" i="67"/>
  <c r="K14" i="67"/>
  <c r="J14" i="67"/>
  <c r="H14" i="67"/>
  <c r="Y13" i="67"/>
  <c r="X13" i="67"/>
  <c r="W13" i="67"/>
  <c r="V13" i="67"/>
  <c r="U13" i="67"/>
  <c r="T13" i="67"/>
  <c r="S13" i="67"/>
  <c r="R13" i="67"/>
  <c r="Q13" i="67"/>
  <c r="P13" i="67"/>
  <c r="O13" i="67"/>
  <c r="L13" i="67"/>
  <c r="K13" i="67"/>
  <c r="H13" i="67"/>
  <c r="AG12" i="67"/>
  <c r="AE12" i="67"/>
  <c r="AF71" i="98" s="1"/>
  <c r="Y12" i="67"/>
  <c r="X12" i="67"/>
  <c r="W12" i="67"/>
  <c r="V12" i="67"/>
  <c r="U12" i="67"/>
  <c r="T12" i="67"/>
  <c r="S12" i="67"/>
  <c r="R12" i="67"/>
  <c r="Q12" i="67"/>
  <c r="P12" i="67"/>
  <c r="O12" i="67"/>
  <c r="L12" i="67"/>
  <c r="H12" i="67"/>
  <c r="AD11" i="67"/>
  <c r="AE70" i="98" s="1"/>
  <c r="Y11" i="67"/>
  <c r="X11" i="67"/>
  <c r="W11" i="67"/>
  <c r="V11" i="67"/>
  <c r="U11" i="67"/>
  <c r="T11" i="67"/>
  <c r="S11" i="67"/>
  <c r="R11" i="67"/>
  <c r="Q11" i="67"/>
  <c r="P11" i="67"/>
  <c r="O11" i="67"/>
  <c r="L11" i="67"/>
  <c r="H11" i="67"/>
  <c r="AG10" i="67"/>
  <c r="AH69" i="98" s="1"/>
  <c r="Y76" i="99" s="1"/>
  <c r="AC76" i="99" s="1"/>
  <c r="AQ76" i="99" s="1"/>
  <c r="AW76" i="99" s="1"/>
  <c r="AE10" i="67"/>
  <c r="AF69" i="98" s="1"/>
  <c r="W76" i="99" s="1"/>
  <c r="AA76" i="99" s="1"/>
  <c r="AO76" i="99" s="1"/>
  <c r="AU76" i="99" s="1"/>
  <c r="Y10" i="67"/>
  <c r="X10" i="67"/>
  <c r="W10" i="67"/>
  <c r="V10" i="67"/>
  <c r="U10" i="67"/>
  <c r="T10" i="67"/>
  <c r="S10" i="67"/>
  <c r="R10" i="67"/>
  <c r="Q10" i="67"/>
  <c r="P10" i="67"/>
  <c r="O10" i="67"/>
  <c r="L10" i="67"/>
  <c r="K10" i="67"/>
  <c r="J10" i="67"/>
  <c r="I10" i="67"/>
  <c r="AG19" i="66"/>
  <c r="AF19" i="66"/>
  <c r="Y19" i="66"/>
  <c r="X19" i="66"/>
  <c r="W19" i="66"/>
  <c r="V19" i="66"/>
  <c r="U19" i="66"/>
  <c r="T19" i="66"/>
  <c r="S19" i="66"/>
  <c r="R19" i="66"/>
  <c r="Q19" i="66"/>
  <c r="P19" i="66"/>
  <c r="O19" i="66"/>
  <c r="L19" i="66"/>
  <c r="K19" i="66"/>
  <c r="J19" i="66"/>
  <c r="I19" i="66"/>
  <c r="AG18" i="66"/>
  <c r="AF18" i="66"/>
  <c r="AE18" i="66"/>
  <c r="AD18" i="66"/>
  <c r="AA18" i="66"/>
  <c r="AB18" i="66" s="1"/>
  <c r="Y18" i="66"/>
  <c r="X18" i="66"/>
  <c r="W18" i="66"/>
  <c r="V18" i="66"/>
  <c r="U18" i="66"/>
  <c r="T18" i="66"/>
  <c r="S18" i="66"/>
  <c r="R18" i="66"/>
  <c r="Q18" i="66"/>
  <c r="P18" i="66"/>
  <c r="O18" i="66"/>
  <c r="L18" i="66"/>
  <c r="K18" i="66"/>
  <c r="J18" i="66"/>
  <c r="AG17" i="66"/>
  <c r="AD17" i="66"/>
  <c r="AE66" i="98" s="1"/>
  <c r="Y17" i="66"/>
  <c r="X17" i="66"/>
  <c r="W17" i="66"/>
  <c r="V17" i="66"/>
  <c r="U17" i="66"/>
  <c r="T17" i="66"/>
  <c r="S17" i="66"/>
  <c r="R17" i="66"/>
  <c r="Q17" i="66"/>
  <c r="P17" i="66"/>
  <c r="O17" i="66"/>
  <c r="L17" i="66"/>
  <c r="AG16" i="66"/>
  <c r="Y16" i="66"/>
  <c r="X16" i="66"/>
  <c r="W16" i="66"/>
  <c r="V16" i="66"/>
  <c r="U16" i="66"/>
  <c r="T16" i="66"/>
  <c r="S16" i="66"/>
  <c r="R16" i="66"/>
  <c r="Q16" i="66"/>
  <c r="P16" i="66"/>
  <c r="O16" i="66"/>
  <c r="L16" i="66"/>
  <c r="K16" i="66"/>
  <c r="J16" i="66"/>
  <c r="I16" i="66"/>
  <c r="Y15" i="66"/>
  <c r="X15" i="66"/>
  <c r="W15" i="66"/>
  <c r="V15" i="66"/>
  <c r="U15" i="66"/>
  <c r="T15" i="66"/>
  <c r="S15" i="66"/>
  <c r="R15" i="66"/>
  <c r="Q15" i="66"/>
  <c r="P15" i="66"/>
  <c r="O15" i="66"/>
  <c r="L15" i="66"/>
  <c r="AG14" i="66"/>
  <c r="AF14" i="66"/>
  <c r="AE14" i="66"/>
  <c r="AD14" i="66"/>
  <c r="AA14" i="66"/>
  <c r="AB14" i="66" s="1"/>
  <c r="Y14" i="66"/>
  <c r="X14" i="66"/>
  <c r="W14" i="66"/>
  <c r="V14" i="66"/>
  <c r="U14" i="66"/>
  <c r="T14" i="66"/>
  <c r="S14" i="66"/>
  <c r="R14" i="66"/>
  <c r="Q14" i="66"/>
  <c r="P14" i="66"/>
  <c r="O14" i="66"/>
  <c r="L14" i="66"/>
  <c r="K14" i="66"/>
  <c r="J14" i="66"/>
  <c r="I14" i="66"/>
  <c r="AG13" i="66"/>
  <c r="Y13" i="66"/>
  <c r="X13" i="66"/>
  <c r="W13" i="66"/>
  <c r="V13" i="66"/>
  <c r="U13" i="66"/>
  <c r="T13" i="66"/>
  <c r="S13" i="66"/>
  <c r="R13" i="66"/>
  <c r="Q13" i="66"/>
  <c r="P13" i="66"/>
  <c r="O13" i="66"/>
  <c r="L13" i="66"/>
  <c r="K13" i="66"/>
  <c r="J13" i="66"/>
  <c r="AG12" i="66"/>
  <c r="Y12" i="66"/>
  <c r="X12" i="66"/>
  <c r="W12" i="66"/>
  <c r="V12" i="66"/>
  <c r="U12" i="66"/>
  <c r="T12" i="66"/>
  <c r="S12" i="66"/>
  <c r="R12" i="66"/>
  <c r="Q12" i="66"/>
  <c r="P12" i="66"/>
  <c r="O12" i="66"/>
  <c r="L12" i="66"/>
  <c r="J12" i="66"/>
  <c r="AG11" i="66"/>
  <c r="AF11" i="66"/>
  <c r="AE11" i="66"/>
  <c r="Y11" i="66"/>
  <c r="X11" i="66"/>
  <c r="W11" i="66"/>
  <c r="V11" i="66"/>
  <c r="U11" i="66"/>
  <c r="T11" i="66"/>
  <c r="S11" i="66"/>
  <c r="R11" i="66"/>
  <c r="Q11" i="66"/>
  <c r="P11" i="66"/>
  <c r="O11" i="66"/>
  <c r="L11" i="66"/>
  <c r="K11" i="66"/>
  <c r="J11" i="66"/>
  <c r="AG10" i="66"/>
  <c r="AF10" i="66"/>
  <c r="AA10" i="66"/>
  <c r="AB10" i="66" s="1"/>
  <c r="Y10" i="66"/>
  <c r="X10" i="66"/>
  <c r="W10" i="66"/>
  <c r="V10" i="66"/>
  <c r="U10" i="66"/>
  <c r="T10" i="66"/>
  <c r="S10" i="66"/>
  <c r="R10" i="66"/>
  <c r="Q10" i="66"/>
  <c r="P10" i="66"/>
  <c r="O10" i="66"/>
  <c r="L10" i="66"/>
  <c r="K10" i="66"/>
  <c r="J10" i="66"/>
  <c r="AG22" i="65"/>
  <c r="Y22" i="65"/>
  <c r="X22" i="65"/>
  <c r="W22" i="65"/>
  <c r="V22" i="65"/>
  <c r="U22" i="65"/>
  <c r="T22" i="65"/>
  <c r="S22" i="65"/>
  <c r="R22" i="65"/>
  <c r="Q22" i="65"/>
  <c r="P22" i="65"/>
  <c r="O22" i="65"/>
  <c r="L22" i="65"/>
  <c r="K22" i="65"/>
  <c r="AG21" i="65"/>
  <c r="Y21" i="65"/>
  <c r="X21" i="65"/>
  <c r="W21" i="65"/>
  <c r="V21" i="65"/>
  <c r="U21" i="65"/>
  <c r="T21" i="65"/>
  <c r="S21" i="65"/>
  <c r="R21" i="65"/>
  <c r="Q21" i="65"/>
  <c r="P21" i="65"/>
  <c r="O21" i="65"/>
  <c r="L21" i="65"/>
  <c r="K21" i="65"/>
  <c r="AG20" i="65"/>
  <c r="AF20" i="65"/>
  <c r="Y20" i="65"/>
  <c r="X20" i="65"/>
  <c r="W20" i="65"/>
  <c r="V20" i="65"/>
  <c r="U20" i="65"/>
  <c r="T20" i="65"/>
  <c r="S20" i="65"/>
  <c r="R20" i="65"/>
  <c r="Q20" i="65"/>
  <c r="P20" i="65"/>
  <c r="O20" i="65"/>
  <c r="L20" i="65"/>
  <c r="K20" i="65"/>
  <c r="J20" i="65"/>
  <c r="I20" i="65"/>
  <c r="AF19" i="65"/>
  <c r="Y19" i="65"/>
  <c r="X19" i="65"/>
  <c r="W19" i="65"/>
  <c r="V19" i="65"/>
  <c r="U19" i="65"/>
  <c r="S19" i="65"/>
  <c r="R19" i="65"/>
  <c r="Q19" i="65"/>
  <c r="P19" i="65"/>
  <c r="O19" i="65"/>
  <c r="L19" i="65"/>
  <c r="K19" i="65"/>
  <c r="J19" i="65"/>
  <c r="R18" i="65"/>
  <c r="Q18" i="65"/>
  <c r="L18" i="65"/>
  <c r="Y17" i="65"/>
  <c r="X17" i="65"/>
  <c r="W17" i="65"/>
  <c r="V17" i="65"/>
  <c r="U17" i="65"/>
  <c r="T17" i="65"/>
  <c r="S17" i="65"/>
  <c r="R17" i="65"/>
  <c r="Q17" i="65"/>
  <c r="P17" i="65"/>
  <c r="O17" i="65"/>
  <c r="L17" i="65"/>
  <c r="K17" i="65"/>
  <c r="I17" i="65"/>
  <c r="Y16" i="65"/>
  <c r="X16" i="65"/>
  <c r="W16" i="65"/>
  <c r="V16" i="65"/>
  <c r="U16" i="65"/>
  <c r="T16" i="65"/>
  <c r="S16" i="65"/>
  <c r="R16" i="65"/>
  <c r="Q16" i="65"/>
  <c r="P16" i="65"/>
  <c r="O16" i="65"/>
  <c r="L16" i="65"/>
  <c r="K16" i="65"/>
  <c r="J16" i="65"/>
  <c r="I16" i="65"/>
  <c r="H16" i="65"/>
  <c r="AG15" i="65"/>
  <c r="AF15" i="65"/>
  <c r="Y15" i="65"/>
  <c r="X15" i="65"/>
  <c r="W15" i="65"/>
  <c r="V15" i="65"/>
  <c r="U15" i="65"/>
  <c r="T15" i="65"/>
  <c r="S15" i="65"/>
  <c r="R15" i="65"/>
  <c r="Q15" i="65"/>
  <c r="P15" i="65"/>
  <c r="O15" i="65"/>
  <c r="L15" i="65"/>
  <c r="K15" i="65"/>
  <c r="J15" i="65"/>
  <c r="I15" i="65"/>
  <c r="AG14" i="65"/>
  <c r="AF14" i="65"/>
  <c r="Y14" i="65"/>
  <c r="X14" i="65"/>
  <c r="W14" i="65"/>
  <c r="V14" i="65"/>
  <c r="U14" i="65"/>
  <c r="T14" i="65"/>
  <c r="S14" i="65"/>
  <c r="R14" i="65"/>
  <c r="Q14" i="65"/>
  <c r="P14" i="65"/>
  <c r="O14" i="65"/>
  <c r="L14" i="65"/>
  <c r="K14" i="65"/>
  <c r="J14" i="65"/>
  <c r="AG13" i="65"/>
  <c r="AF13" i="65"/>
  <c r="Y13" i="65"/>
  <c r="X13" i="65"/>
  <c r="W13" i="65"/>
  <c r="V13" i="65"/>
  <c r="U13" i="65"/>
  <c r="T13" i="65"/>
  <c r="S13" i="65"/>
  <c r="R13" i="65"/>
  <c r="Q13" i="65"/>
  <c r="P13" i="65"/>
  <c r="O13" i="65"/>
  <c r="L13" i="65"/>
  <c r="K13" i="65"/>
  <c r="J13" i="65"/>
  <c r="I13" i="65"/>
  <c r="H13" i="65"/>
  <c r="AG12" i="65"/>
  <c r="Y12" i="65"/>
  <c r="X12" i="65"/>
  <c r="W12" i="65"/>
  <c r="V12" i="65"/>
  <c r="U12" i="65"/>
  <c r="T12" i="65"/>
  <c r="S12" i="65"/>
  <c r="R12" i="65"/>
  <c r="Q12" i="65"/>
  <c r="P12" i="65"/>
  <c r="O12" i="65"/>
  <c r="L12" i="65"/>
  <c r="K12" i="65"/>
  <c r="AG11" i="65"/>
  <c r="Y11" i="65"/>
  <c r="X11" i="65"/>
  <c r="W11" i="65"/>
  <c r="V11" i="65"/>
  <c r="U11" i="65"/>
  <c r="T11" i="65"/>
  <c r="S11" i="65"/>
  <c r="R11" i="65"/>
  <c r="Q11" i="65"/>
  <c r="P11" i="65"/>
  <c r="O11" i="65"/>
  <c r="L11" i="65"/>
  <c r="K11" i="65"/>
  <c r="J11" i="65"/>
  <c r="AG10" i="65"/>
  <c r="AF10" i="65"/>
  <c r="AE10" i="65"/>
  <c r="AD10" i="65"/>
  <c r="AA10" i="65"/>
  <c r="AB10" i="65" s="1"/>
  <c r="Y10" i="65"/>
  <c r="X10" i="65"/>
  <c r="W10" i="65"/>
  <c r="V10" i="65"/>
  <c r="U10" i="65"/>
  <c r="T10" i="65"/>
  <c r="S10" i="65"/>
  <c r="R10" i="65"/>
  <c r="Q10" i="65"/>
  <c r="P10" i="65"/>
  <c r="O10" i="65"/>
  <c r="L10" i="65"/>
  <c r="K10" i="65"/>
  <c r="J10" i="65"/>
  <c r="I10" i="65"/>
  <c r="D15" i="97"/>
  <c r="I12" i="97"/>
  <c r="AG14" i="67" s="1"/>
  <c r="AH73" i="98" s="1"/>
  <c r="Y80" i="99" s="1"/>
  <c r="AC80" i="99" s="1"/>
  <c r="H12" i="97"/>
  <c r="AF14" i="67" s="1"/>
  <c r="AG73" i="98" s="1"/>
  <c r="G12" i="97"/>
  <c r="F12" i="97"/>
  <c r="I10" i="97"/>
  <c r="H10" i="97"/>
  <c r="G10" i="97"/>
  <c r="F10" i="97"/>
  <c r="I7" i="97"/>
  <c r="H7" i="97"/>
  <c r="G7" i="97"/>
  <c r="I14" i="67" s="1"/>
  <c r="F7" i="97"/>
  <c r="D15" i="96"/>
  <c r="I12" i="96"/>
  <c r="AG13" i="67" s="1"/>
  <c r="AH72" i="98" s="1"/>
  <c r="Y79" i="99" s="1"/>
  <c r="AC79" i="99" s="1"/>
  <c r="H12" i="96"/>
  <c r="AF13" i="67" s="1"/>
  <c r="AG72" i="98" s="1"/>
  <c r="G12" i="96"/>
  <c r="AE13" i="67" s="1"/>
  <c r="AF72" i="98" s="1"/>
  <c r="F12" i="96"/>
  <c r="I10" i="96"/>
  <c r="H10" i="96"/>
  <c r="G10" i="96"/>
  <c r="F10" i="96"/>
  <c r="I7" i="96"/>
  <c r="H7" i="96"/>
  <c r="J13" i="67" s="1"/>
  <c r="G7" i="96"/>
  <c r="I13" i="67" s="1"/>
  <c r="F7" i="96"/>
  <c r="D15" i="95"/>
  <c r="I12" i="95"/>
  <c r="AG11" i="67" s="1"/>
  <c r="AH70" i="98" s="1"/>
  <c r="H12" i="95"/>
  <c r="AF11" i="67" s="1"/>
  <c r="AG70" i="98" s="1"/>
  <c r="G12" i="95"/>
  <c r="AE11" i="67" s="1"/>
  <c r="AF70" i="98" s="1"/>
  <c r="F12" i="95"/>
  <c r="I10" i="95"/>
  <c r="H10" i="95"/>
  <c r="G10" i="95"/>
  <c r="F10" i="95"/>
  <c r="I7" i="95"/>
  <c r="K11" i="67" s="1"/>
  <c r="H7" i="95"/>
  <c r="J11" i="67" s="1"/>
  <c r="G7" i="95"/>
  <c r="I11" i="67" s="1"/>
  <c r="F7" i="95"/>
  <c r="D15" i="94"/>
  <c r="I12" i="94"/>
  <c r="H12" i="94"/>
  <c r="AF12" i="67" s="1"/>
  <c r="AG71" i="98" s="1"/>
  <c r="G12" i="94"/>
  <c r="F12" i="94"/>
  <c r="I10" i="94"/>
  <c r="H10" i="94"/>
  <c r="G10" i="94"/>
  <c r="F10" i="94"/>
  <c r="I7" i="94"/>
  <c r="K12" i="67" s="1"/>
  <c r="H7" i="94"/>
  <c r="J12" i="67" s="1"/>
  <c r="G7" i="94"/>
  <c r="I12" i="67" s="1"/>
  <c r="F7" i="94"/>
  <c r="D15" i="93"/>
  <c r="I12" i="93"/>
  <c r="H12" i="93"/>
  <c r="AF10" i="67" s="1"/>
  <c r="AG69" i="98" s="1"/>
  <c r="G12" i="93"/>
  <c r="F12" i="93"/>
  <c r="I10" i="93"/>
  <c r="H10" i="93"/>
  <c r="G10" i="93"/>
  <c r="F10" i="93"/>
  <c r="I7" i="93"/>
  <c r="H7" i="93"/>
  <c r="G7" i="93"/>
  <c r="F7" i="93"/>
  <c r="D15" i="92"/>
  <c r="I12" i="92"/>
  <c r="H12" i="92"/>
  <c r="G12" i="92"/>
  <c r="AE19" i="66" s="1"/>
  <c r="AF68" i="98" s="1"/>
  <c r="F12" i="92"/>
  <c r="I10" i="92"/>
  <c r="H10" i="92"/>
  <c r="G10" i="92"/>
  <c r="F10" i="92"/>
  <c r="I7" i="92"/>
  <c r="H7" i="92"/>
  <c r="G7" i="92"/>
  <c r="F7" i="92"/>
  <c r="D15" i="91"/>
  <c r="I12" i="91"/>
  <c r="H12" i="91"/>
  <c r="G12" i="91"/>
  <c r="F12" i="91"/>
  <c r="I10" i="91"/>
  <c r="H10" i="91"/>
  <c r="G10" i="91"/>
  <c r="F10" i="91"/>
  <c r="I7" i="91"/>
  <c r="H7" i="91"/>
  <c r="G7" i="91"/>
  <c r="I18" i="66" s="1"/>
  <c r="F7" i="91"/>
  <c r="D15" i="90"/>
  <c r="I12" i="90"/>
  <c r="H12" i="90"/>
  <c r="AF17" i="66" s="1"/>
  <c r="AG66" i="98" s="1"/>
  <c r="G12" i="90"/>
  <c r="AE17" i="66" s="1"/>
  <c r="AF66" i="98" s="1"/>
  <c r="W73" i="99" s="1"/>
  <c r="AA73" i="99" s="1"/>
  <c r="AO73" i="99" s="1"/>
  <c r="AU73" i="99" s="1"/>
  <c r="F12" i="90"/>
  <c r="D12" i="90" s="1"/>
  <c r="E12" i="90" s="1"/>
  <c r="I10" i="90"/>
  <c r="H10" i="90"/>
  <c r="G10" i="90"/>
  <c r="F10" i="90"/>
  <c r="I7" i="90"/>
  <c r="K17" i="66" s="1"/>
  <c r="H7" i="90"/>
  <c r="J17" i="66" s="1"/>
  <c r="G7" i="90"/>
  <c r="I17" i="66" s="1"/>
  <c r="F7" i="90"/>
  <c r="D15" i="89"/>
  <c r="I12" i="89"/>
  <c r="H12" i="89"/>
  <c r="AF16" i="66" s="1"/>
  <c r="AG65" i="98" s="1"/>
  <c r="X72" i="99" s="1"/>
  <c r="AB72" i="99" s="1"/>
  <c r="G12" i="89"/>
  <c r="AE16" i="66" s="1"/>
  <c r="AF65" i="98" s="1"/>
  <c r="F12" i="89"/>
  <c r="I10" i="89"/>
  <c r="H10" i="89"/>
  <c r="G10" i="89"/>
  <c r="F10" i="89"/>
  <c r="I7" i="89"/>
  <c r="H7" i="89"/>
  <c r="G7" i="89"/>
  <c r="F7" i="89"/>
  <c r="D15" i="88"/>
  <c r="I12" i="88"/>
  <c r="AG15" i="66" s="1"/>
  <c r="AH64" i="98" s="1"/>
  <c r="H12" i="88"/>
  <c r="AF15" i="66" s="1"/>
  <c r="AG64" i="98" s="1"/>
  <c r="G12" i="88"/>
  <c r="AE15" i="66" s="1"/>
  <c r="AF64" i="98" s="1"/>
  <c r="F12" i="88"/>
  <c r="I10" i="88"/>
  <c r="H10" i="88"/>
  <c r="G10" i="88"/>
  <c r="F10" i="88"/>
  <c r="I7" i="88"/>
  <c r="K15" i="66" s="1"/>
  <c r="H7" i="88"/>
  <c r="J15" i="66" s="1"/>
  <c r="G7" i="88"/>
  <c r="I15" i="66" s="1"/>
  <c r="F7" i="88"/>
  <c r="D15" i="87"/>
  <c r="I12" i="87"/>
  <c r="H12" i="87"/>
  <c r="G12" i="87"/>
  <c r="F12" i="87"/>
  <c r="I10" i="87"/>
  <c r="H10" i="87"/>
  <c r="G10" i="87"/>
  <c r="F10" i="87"/>
  <c r="I7" i="87"/>
  <c r="H7" i="87"/>
  <c r="G7" i="87"/>
  <c r="F7" i="87"/>
  <c r="D15" i="86"/>
  <c r="I12" i="86"/>
  <c r="H12" i="86"/>
  <c r="AF13" i="66" s="1"/>
  <c r="AG62" i="98" s="1"/>
  <c r="G12" i="86"/>
  <c r="AE13" i="66" s="1"/>
  <c r="F12" i="86"/>
  <c r="I10" i="86"/>
  <c r="H10" i="86"/>
  <c r="G10" i="86"/>
  <c r="F10" i="86"/>
  <c r="I7" i="86"/>
  <c r="H7" i="86"/>
  <c r="G7" i="86"/>
  <c r="D7" i="86" s="1"/>
  <c r="E7" i="86" s="1"/>
  <c r="F7" i="86"/>
  <c r="D15" i="85"/>
  <c r="I12" i="85"/>
  <c r="H12" i="85"/>
  <c r="AF12" i="66" s="1"/>
  <c r="AG61" i="98" s="1"/>
  <c r="G12" i="85"/>
  <c r="AE12" i="66" s="1"/>
  <c r="AF61" i="98" s="1"/>
  <c r="F12" i="85"/>
  <c r="D12" i="85" s="1"/>
  <c r="E12" i="85" s="1"/>
  <c r="I10" i="85"/>
  <c r="H10" i="85"/>
  <c r="G10" i="85"/>
  <c r="F10" i="85"/>
  <c r="I7" i="85"/>
  <c r="K12" i="66" s="1"/>
  <c r="H7" i="85"/>
  <c r="G7" i="85"/>
  <c r="I12" i="66" s="1"/>
  <c r="F7" i="85"/>
  <c r="D15" i="84"/>
  <c r="I12" i="84"/>
  <c r="H12" i="84"/>
  <c r="G12" i="84"/>
  <c r="F12" i="84"/>
  <c r="I10" i="84"/>
  <c r="H10" i="84"/>
  <c r="G10" i="84"/>
  <c r="F10" i="84"/>
  <c r="I7" i="84"/>
  <c r="H7" i="84"/>
  <c r="G7" i="84"/>
  <c r="I11" i="66" s="1"/>
  <c r="J60" i="98" s="1"/>
  <c r="AR60" i="98" s="1"/>
  <c r="F7" i="84"/>
  <c r="D7" i="84" s="1"/>
  <c r="E7" i="84" s="1"/>
  <c r="D15" i="83"/>
  <c r="I12" i="83"/>
  <c r="H12" i="83"/>
  <c r="G12" i="83"/>
  <c r="AE10" i="66" s="1"/>
  <c r="F12" i="83"/>
  <c r="D12" i="83" s="1"/>
  <c r="E12" i="83" s="1"/>
  <c r="I10" i="83"/>
  <c r="H10" i="83"/>
  <c r="G10" i="83"/>
  <c r="F10" i="83"/>
  <c r="I7" i="83"/>
  <c r="H7" i="83"/>
  <c r="G7" i="83"/>
  <c r="I10" i="66" s="1"/>
  <c r="F7" i="83"/>
  <c r="D15" i="82"/>
  <c r="I12" i="82"/>
  <c r="H12" i="82"/>
  <c r="G12" i="82"/>
  <c r="F12" i="82"/>
  <c r="I10" i="82"/>
  <c r="H10" i="82"/>
  <c r="G10" i="82"/>
  <c r="F10" i="82"/>
  <c r="I7" i="82"/>
  <c r="H7" i="82"/>
  <c r="G7" i="82"/>
  <c r="F7" i="82"/>
  <c r="D15" i="81"/>
  <c r="I12" i="81"/>
  <c r="H12" i="81"/>
  <c r="AF23" i="65" s="1"/>
  <c r="AG57" i="98" s="1"/>
  <c r="X64" i="99" s="1"/>
  <c r="AB64" i="99" s="1"/>
  <c r="AP64" i="99" s="1"/>
  <c r="AV64" i="99" s="1"/>
  <c r="G12" i="81"/>
  <c r="AE23" i="65" s="1"/>
  <c r="AF57" i="98" s="1"/>
  <c r="W64" i="99" s="1"/>
  <c r="AA64" i="99" s="1"/>
  <c r="F12" i="81"/>
  <c r="I10" i="81"/>
  <c r="H10" i="81"/>
  <c r="G10" i="81"/>
  <c r="F10" i="81"/>
  <c r="I7" i="81"/>
  <c r="H7" i="81"/>
  <c r="G7" i="81"/>
  <c r="F7" i="81"/>
  <c r="D15" i="80"/>
  <c r="I12" i="80"/>
  <c r="H12" i="80"/>
  <c r="AF22" i="65" s="1"/>
  <c r="AG56" i="98" s="1"/>
  <c r="X63" i="99" s="1"/>
  <c r="AB63" i="99" s="1"/>
  <c r="AP63" i="99" s="1"/>
  <c r="AV63" i="99" s="1"/>
  <c r="G12" i="80"/>
  <c r="AE22" i="65" s="1"/>
  <c r="AF56" i="98" s="1"/>
  <c r="F12" i="80"/>
  <c r="I10" i="80"/>
  <c r="H10" i="80"/>
  <c r="G10" i="80"/>
  <c r="F10" i="80"/>
  <c r="I7" i="80"/>
  <c r="H7" i="80"/>
  <c r="G7" i="80"/>
  <c r="F7" i="80"/>
  <c r="D15" i="79"/>
  <c r="I12" i="79"/>
  <c r="H12" i="79"/>
  <c r="AF21" i="65" s="1"/>
  <c r="AG55" i="98" s="1"/>
  <c r="X62" i="99" s="1"/>
  <c r="AB62" i="99" s="1"/>
  <c r="G12" i="79"/>
  <c r="AE21" i="65" s="1"/>
  <c r="AF55" i="98" s="1"/>
  <c r="F12" i="79"/>
  <c r="I10" i="79"/>
  <c r="H10" i="79"/>
  <c r="G10" i="79"/>
  <c r="F10" i="79"/>
  <c r="I7" i="79"/>
  <c r="H7" i="79"/>
  <c r="J21" i="65" s="1"/>
  <c r="G7" i="79"/>
  <c r="I21" i="65" s="1"/>
  <c r="F7" i="79"/>
  <c r="D15" i="78"/>
  <c r="I12" i="78"/>
  <c r="H12" i="78"/>
  <c r="G12" i="78"/>
  <c r="AE20" i="65" s="1"/>
  <c r="AF54" i="98" s="1"/>
  <c r="F12" i="78"/>
  <c r="AD20" i="65" s="1"/>
  <c r="AE54" i="98" s="1"/>
  <c r="I10" i="78"/>
  <c r="H10" i="78"/>
  <c r="G10" i="78"/>
  <c r="F10" i="78"/>
  <c r="I7" i="78"/>
  <c r="H7" i="78"/>
  <c r="G7" i="78"/>
  <c r="F7" i="78"/>
  <c r="D15" i="77"/>
  <c r="I12" i="77"/>
  <c r="AG19" i="65" s="1"/>
  <c r="AH53" i="98" s="1"/>
  <c r="H12" i="77"/>
  <c r="G12" i="77"/>
  <c r="AE19" i="65" s="1"/>
  <c r="AF53" i="98" s="1"/>
  <c r="W60" i="99" s="1"/>
  <c r="AA60" i="99" s="1"/>
  <c r="F12" i="77"/>
  <c r="I10" i="77"/>
  <c r="H10" i="77"/>
  <c r="G10" i="77"/>
  <c r="F10" i="77"/>
  <c r="I7" i="77"/>
  <c r="H7" i="77"/>
  <c r="G7" i="77"/>
  <c r="I19" i="65" s="1"/>
  <c r="F7" i="77"/>
  <c r="D15" i="76"/>
  <c r="I12" i="76"/>
  <c r="AG18" i="65" s="1"/>
  <c r="H12" i="76"/>
  <c r="AF18" i="65" s="1"/>
  <c r="G12" i="76"/>
  <c r="AE18" i="65" s="1"/>
  <c r="AF52" i="98" s="1"/>
  <c r="W59" i="99" s="1"/>
  <c r="AA59" i="99" s="1"/>
  <c r="F12" i="76"/>
  <c r="I10" i="76"/>
  <c r="H10" i="76"/>
  <c r="G10" i="76"/>
  <c r="P18" i="65" s="1"/>
  <c r="F10" i="76"/>
  <c r="O18" i="65" s="1"/>
  <c r="I7" i="76"/>
  <c r="K18" i="65" s="1"/>
  <c r="H7" i="76"/>
  <c r="J18" i="65" s="1"/>
  <c r="G7" i="76"/>
  <c r="I18" i="65" s="1"/>
  <c r="F7" i="76"/>
  <c r="D15" i="75"/>
  <c r="I12" i="75"/>
  <c r="AG17" i="65" s="1"/>
  <c r="AH51" i="98" s="1"/>
  <c r="H12" i="75"/>
  <c r="AF17" i="65" s="1"/>
  <c r="AG51" i="98" s="1"/>
  <c r="X58" i="99" s="1"/>
  <c r="AB58" i="99" s="1"/>
  <c r="G12" i="75"/>
  <c r="AE17" i="65" s="1"/>
  <c r="AF51" i="98" s="1"/>
  <c r="F12" i="75"/>
  <c r="I10" i="75"/>
  <c r="H10" i="75"/>
  <c r="G10" i="75"/>
  <c r="F10" i="75"/>
  <c r="I7" i="75"/>
  <c r="H7" i="75"/>
  <c r="J17" i="65" s="1"/>
  <c r="G7" i="75"/>
  <c r="F7" i="75"/>
  <c r="D15" i="74"/>
  <c r="I12" i="74"/>
  <c r="AG16" i="65" s="1"/>
  <c r="AH50" i="98" s="1"/>
  <c r="H12" i="74"/>
  <c r="AF16" i="65" s="1"/>
  <c r="AG50" i="98" s="1"/>
  <c r="X57" i="99" s="1"/>
  <c r="AB57" i="99" s="1"/>
  <c r="G12" i="74"/>
  <c r="AE16" i="65" s="1"/>
  <c r="AF50" i="98" s="1"/>
  <c r="F12" i="74"/>
  <c r="I10" i="74"/>
  <c r="H10" i="74"/>
  <c r="G10" i="74"/>
  <c r="F10" i="74"/>
  <c r="I7" i="74"/>
  <c r="H7" i="74"/>
  <c r="G7" i="74"/>
  <c r="F7" i="74"/>
  <c r="D15" i="73"/>
  <c r="I12" i="73"/>
  <c r="H12" i="73"/>
  <c r="G12" i="73"/>
  <c r="AE15" i="65" s="1"/>
  <c r="F12" i="73"/>
  <c r="I10" i="73"/>
  <c r="H10" i="73"/>
  <c r="G10" i="73"/>
  <c r="F10" i="73"/>
  <c r="I7" i="73"/>
  <c r="H7" i="73"/>
  <c r="G7" i="73"/>
  <c r="F7" i="73"/>
  <c r="D15" i="72"/>
  <c r="I12" i="72"/>
  <c r="H12" i="72"/>
  <c r="G12" i="72"/>
  <c r="AE14" i="65" s="1"/>
  <c r="AF48" i="98" s="1"/>
  <c r="F12" i="72"/>
  <c r="I10" i="72"/>
  <c r="H10" i="72"/>
  <c r="G10" i="72"/>
  <c r="F10" i="72"/>
  <c r="I7" i="72"/>
  <c r="H7" i="72"/>
  <c r="G7" i="72"/>
  <c r="I14" i="65" s="1"/>
  <c r="F7" i="72"/>
  <c r="D15" i="71"/>
  <c r="I12" i="71"/>
  <c r="H12" i="71"/>
  <c r="G12" i="71"/>
  <c r="AE13" i="65" s="1"/>
  <c r="AF47" i="98" s="1"/>
  <c r="W54" i="99" s="1"/>
  <c r="AA54" i="99" s="1"/>
  <c r="F12" i="71"/>
  <c r="I10" i="71"/>
  <c r="H10" i="71"/>
  <c r="G10" i="71"/>
  <c r="F10" i="71"/>
  <c r="I7" i="71"/>
  <c r="H7" i="71"/>
  <c r="G7" i="71"/>
  <c r="F7" i="71"/>
  <c r="D15" i="70"/>
  <c r="I12" i="70"/>
  <c r="H12" i="70"/>
  <c r="AF12" i="65" s="1"/>
  <c r="AG46" i="98" s="1"/>
  <c r="X53" i="99" s="1"/>
  <c r="AB53" i="99" s="1"/>
  <c r="AP53" i="99" s="1"/>
  <c r="AV53" i="99" s="1"/>
  <c r="G12" i="70"/>
  <c r="AE12" i="65" s="1"/>
  <c r="AF46" i="98" s="1"/>
  <c r="W53" i="99" s="1"/>
  <c r="AA53" i="99" s="1"/>
  <c r="F12" i="70"/>
  <c r="I10" i="70"/>
  <c r="H10" i="70"/>
  <c r="G10" i="70"/>
  <c r="F10" i="70"/>
  <c r="I7" i="70"/>
  <c r="H7" i="70"/>
  <c r="J12" i="65" s="1"/>
  <c r="G7" i="70"/>
  <c r="I12" i="65" s="1"/>
  <c r="F7" i="70"/>
  <c r="D15" i="69"/>
  <c r="I12" i="69"/>
  <c r="H12" i="69"/>
  <c r="AF11" i="65" s="1"/>
  <c r="AG45" i="98" s="1"/>
  <c r="G12" i="69"/>
  <c r="AE11" i="65" s="1"/>
  <c r="AF45" i="98" s="1"/>
  <c r="F12" i="69"/>
  <c r="I10" i="69"/>
  <c r="H10" i="69"/>
  <c r="G10" i="69"/>
  <c r="F10" i="69"/>
  <c r="I7" i="69"/>
  <c r="H7" i="69"/>
  <c r="G7" i="69"/>
  <c r="I11" i="65" s="1"/>
  <c r="F7" i="69"/>
  <c r="D15" i="68"/>
  <c r="I12" i="68"/>
  <c r="H12" i="68"/>
  <c r="G12" i="68"/>
  <c r="F12" i="68"/>
  <c r="I10" i="68"/>
  <c r="H10" i="68"/>
  <c r="G10" i="68"/>
  <c r="F10" i="68"/>
  <c r="I7" i="68"/>
  <c r="H7" i="68"/>
  <c r="G7" i="68"/>
  <c r="F7" i="68"/>
  <c r="E26" i="65"/>
  <c r="E16" i="67"/>
  <c r="E21" i="66"/>
  <c r="S31" i="22"/>
  <c r="T31" i="22"/>
  <c r="U31" i="22"/>
  <c r="S30" i="22"/>
  <c r="T30" i="22"/>
  <c r="U30" i="22"/>
  <c r="L29" i="22"/>
  <c r="I29" i="22"/>
  <c r="N29" i="22"/>
  <c r="O29" i="22"/>
  <c r="P29" i="22"/>
  <c r="G29" i="22"/>
  <c r="Q29" i="22"/>
  <c r="K29" i="22"/>
  <c r="H29" i="22"/>
  <c r="M29" i="22"/>
  <c r="R29" i="22"/>
  <c r="S29" i="22"/>
  <c r="T29" i="22"/>
  <c r="U29" i="22"/>
  <c r="J29" i="22"/>
  <c r="D12" i="93" l="1"/>
  <c r="E12" i="93" s="1"/>
  <c r="D12" i="80"/>
  <c r="E12" i="80" s="1"/>
  <c r="AD22" i="65"/>
  <c r="AE56" i="98" s="1"/>
  <c r="AQ56" i="98" s="1"/>
  <c r="AA22" i="65"/>
  <c r="AB22" i="65" s="1"/>
  <c r="AC56" i="98" s="1"/>
  <c r="D12" i="77"/>
  <c r="E12" i="77" s="1"/>
  <c r="AQ79" i="99"/>
  <c r="AD79" i="99"/>
  <c r="AP72" i="99"/>
  <c r="AD72" i="99"/>
  <c r="AQ80" i="99"/>
  <c r="AD80" i="99"/>
  <c r="AD10" i="67"/>
  <c r="AE69" i="98" s="1"/>
  <c r="X76" i="99"/>
  <c r="AB76" i="99" s="1"/>
  <c r="AR69" i="98"/>
  <c r="AT69" i="98"/>
  <c r="AS69" i="98"/>
  <c r="AQ69" i="98"/>
  <c r="V73" i="99"/>
  <c r="Z73" i="99" s="1"/>
  <c r="AN73" i="99" s="1"/>
  <c r="AT73" i="99" s="1"/>
  <c r="AA17" i="66"/>
  <c r="AB17" i="66" s="1"/>
  <c r="X73" i="99"/>
  <c r="AB73" i="99" s="1"/>
  <c r="AR66" i="98"/>
  <c r="AT66" i="98"/>
  <c r="AS66" i="98"/>
  <c r="AQ66" i="98"/>
  <c r="Z17" i="66"/>
  <c r="AA66" i="98" s="1"/>
  <c r="AO64" i="99"/>
  <c r="AD64" i="99"/>
  <c r="W63" i="99"/>
  <c r="AA63" i="99" s="1"/>
  <c r="AR56" i="98"/>
  <c r="AT56" i="98"/>
  <c r="AS56" i="98"/>
  <c r="AB56" i="98"/>
  <c r="Z22" i="65"/>
  <c r="AA56" i="98" s="1"/>
  <c r="AO54" i="99"/>
  <c r="AD54" i="99"/>
  <c r="AP62" i="99"/>
  <c r="AD62" i="99"/>
  <c r="AO60" i="99"/>
  <c r="AD60" i="99"/>
  <c r="AO59" i="99"/>
  <c r="AD59" i="99"/>
  <c r="AP58" i="99"/>
  <c r="AD58" i="99"/>
  <c r="AP57" i="99"/>
  <c r="AD57" i="99"/>
  <c r="AO53" i="99"/>
  <c r="D12" i="75"/>
  <c r="E12" i="75" s="1"/>
  <c r="AA19" i="65"/>
  <c r="AB53" i="98" s="1"/>
  <c r="AD19" i="65"/>
  <c r="AE53" i="98" s="1"/>
  <c r="AR53" i="98" s="1"/>
  <c r="AB19" i="65"/>
  <c r="AC53" i="98" s="1"/>
  <c r="AE60" i="99" s="1"/>
  <c r="D12" i="79"/>
  <c r="E12" i="79" s="1"/>
  <c r="AD21" i="65"/>
  <c r="AE55" i="98" s="1"/>
  <c r="D12" i="92"/>
  <c r="E12" i="92" s="1"/>
  <c r="AD19" i="66"/>
  <c r="AE68" i="98" s="1"/>
  <c r="D12" i="70"/>
  <c r="E12" i="70" s="1"/>
  <c r="AT54" i="98"/>
  <c r="AQ54" i="98"/>
  <c r="AS54" i="98"/>
  <c r="AR54" i="98"/>
  <c r="AT70" i="98"/>
  <c r="AQ70" i="98"/>
  <c r="AS70" i="98"/>
  <c r="AR70" i="98"/>
  <c r="AT62" i="98"/>
  <c r="AQ62" i="98"/>
  <c r="AS62" i="98"/>
  <c r="AR62" i="98"/>
  <c r="AD23" i="65"/>
  <c r="AE57" i="98" s="1"/>
  <c r="D12" i="81"/>
  <c r="D12" i="97"/>
  <c r="E12" i="97" s="1"/>
  <c r="AD14" i="67"/>
  <c r="AE73" i="98" s="1"/>
  <c r="D12" i="95"/>
  <c r="E12" i="95" s="1"/>
  <c r="D12" i="74"/>
  <c r="E12" i="74" s="1"/>
  <c r="AD16" i="65"/>
  <c r="AE50" i="98" s="1"/>
  <c r="AD12" i="65"/>
  <c r="AE46" i="98" s="1"/>
  <c r="V53" i="99" s="1"/>
  <c r="Z53" i="99" s="1"/>
  <c r="AN53" i="99" s="1"/>
  <c r="AT53" i="99" s="1"/>
  <c r="AD12" i="66"/>
  <c r="AE61" i="98" s="1"/>
  <c r="AA12" i="66"/>
  <c r="D12" i="96"/>
  <c r="E12" i="96" s="1"/>
  <c r="AD13" i="67"/>
  <c r="AE72" i="98" s="1"/>
  <c r="D12" i="76"/>
  <c r="E12" i="76" s="1"/>
  <c r="AD17" i="65"/>
  <c r="AE51" i="98" s="1"/>
  <c r="D12" i="72"/>
  <c r="E12" i="72" s="1"/>
  <c r="AD14" i="65"/>
  <c r="AE48" i="98" s="1"/>
  <c r="D12" i="71"/>
  <c r="E12" i="71" s="1"/>
  <c r="AD13" i="65"/>
  <c r="AE47" i="98" s="1"/>
  <c r="D12" i="69"/>
  <c r="E12" i="69" s="1"/>
  <c r="AD11" i="65"/>
  <c r="AE45" i="98" s="1"/>
  <c r="AD18" i="65"/>
  <c r="AE52" i="98" s="1"/>
  <c r="D12" i="94"/>
  <c r="E12" i="94" s="1"/>
  <c r="AD12" i="67"/>
  <c r="AE71" i="98" s="1"/>
  <c r="D12" i="89"/>
  <c r="E12" i="89" s="1"/>
  <c r="AD16" i="66"/>
  <c r="AE65" i="98" s="1"/>
  <c r="D12" i="78"/>
  <c r="AD24" i="65"/>
  <c r="D12" i="82"/>
  <c r="D12" i="73"/>
  <c r="E12" i="73" s="1"/>
  <c r="AD15" i="65"/>
  <c r="D12" i="86"/>
  <c r="AD13" i="66"/>
  <c r="I13" i="66"/>
  <c r="D12" i="84"/>
  <c r="E12" i="84" s="1"/>
  <c r="AD10" i="66"/>
  <c r="D7" i="76"/>
  <c r="E7" i="76" s="1"/>
  <c r="D12" i="88"/>
  <c r="E12" i="88" s="1"/>
  <c r="AD15" i="66"/>
  <c r="AE64" i="98" s="1"/>
  <c r="F19" i="66"/>
  <c r="G19" i="66" s="1"/>
  <c r="H19" i="66"/>
  <c r="H12" i="66"/>
  <c r="H10" i="66"/>
  <c r="F19" i="65"/>
  <c r="G19" i="65" s="1"/>
  <c r="H19" i="65"/>
  <c r="F14" i="65"/>
  <c r="G14" i="65" s="1"/>
  <c r="H14" i="65"/>
  <c r="F11" i="65"/>
  <c r="G11" i="65" s="1"/>
  <c r="H11" i="65"/>
  <c r="I22" i="65"/>
  <c r="J22" i="65"/>
  <c r="H22" i="65"/>
  <c r="H21" i="65"/>
  <c r="H20" i="65"/>
  <c r="H18" i="65"/>
  <c r="H17" i="65"/>
  <c r="F16" i="65"/>
  <c r="G16" i="65" s="1"/>
  <c r="F15" i="65"/>
  <c r="G15" i="65" s="1"/>
  <c r="H15" i="65"/>
  <c r="F13" i="65"/>
  <c r="G13" i="65" s="1"/>
  <c r="H12" i="65"/>
  <c r="F10" i="65"/>
  <c r="G10" i="65" s="1"/>
  <c r="H10" i="65"/>
  <c r="H18" i="66"/>
  <c r="H17" i="66"/>
  <c r="F16" i="66"/>
  <c r="G16" i="66" s="1"/>
  <c r="H16" i="66"/>
  <c r="H15" i="66"/>
  <c r="F14" i="66"/>
  <c r="G14" i="66" s="1"/>
  <c r="H14" i="66"/>
  <c r="F13" i="66"/>
  <c r="H13" i="66"/>
  <c r="H11" i="66"/>
  <c r="I60" i="98" s="1"/>
  <c r="AQ60" i="98" s="1"/>
  <c r="AA11" i="66"/>
  <c r="AB11" i="66" s="1"/>
  <c r="AD11" i="66"/>
  <c r="F10" i="67"/>
  <c r="G10" i="67" s="1"/>
  <c r="H10" i="67"/>
  <c r="M26" i="65"/>
  <c r="J5" i="22" s="1"/>
  <c r="M16" i="67"/>
  <c r="L5" i="22" s="1"/>
  <c r="M21" i="66"/>
  <c r="K5" i="22" s="1"/>
  <c r="AC10" i="66"/>
  <c r="AC18" i="66"/>
  <c r="AD67" i="98" s="1"/>
  <c r="AC14" i="66"/>
  <c r="AD63" i="98" s="1"/>
  <c r="AC10" i="65"/>
  <c r="L10" i="24"/>
  <c r="O10" i="24"/>
  <c r="P10" i="24"/>
  <c r="Q10" i="24"/>
  <c r="R10" i="24"/>
  <c r="S10" i="24"/>
  <c r="T10" i="24"/>
  <c r="V19" i="25"/>
  <c r="V17" i="25"/>
  <c r="AA10" i="67" l="1"/>
  <c r="V63" i="99"/>
  <c r="Z63" i="99" s="1"/>
  <c r="AN63" i="99" s="1"/>
  <c r="AT63" i="99" s="1"/>
  <c r="AE63" i="99"/>
  <c r="Z19" i="65"/>
  <c r="AA53" i="98" s="1"/>
  <c r="AW79" i="99"/>
  <c r="AR79" i="99"/>
  <c r="AV72" i="99"/>
  <c r="AR72" i="99"/>
  <c r="AW80" i="99"/>
  <c r="AR80" i="99"/>
  <c r="V76" i="99"/>
  <c r="Z76" i="99" s="1"/>
  <c r="AN76" i="99" s="1"/>
  <c r="AT76" i="99" s="1"/>
  <c r="AP76" i="99"/>
  <c r="AC66" i="98"/>
  <c r="AE73" i="99" s="1"/>
  <c r="AC17" i="66"/>
  <c r="AD66" i="98" s="1"/>
  <c r="AB66" i="98"/>
  <c r="AW66" i="98" s="1"/>
  <c r="AP73" i="99"/>
  <c r="AD73" i="99"/>
  <c r="BA21" i="99" s="1"/>
  <c r="AU64" i="99"/>
  <c r="AR64" i="99"/>
  <c r="AN56" i="98"/>
  <c r="AW56" i="98"/>
  <c r="AC22" i="65"/>
  <c r="AD56" i="98" s="1"/>
  <c r="AO63" i="99"/>
  <c r="AD63" i="99"/>
  <c r="AU54" i="99"/>
  <c r="AR54" i="99"/>
  <c r="AV62" i="99"/>
  <c r="AR62" i="99"/>
  <c r="AN53" i="98"/>
  <c r="AW53" i="98"/>
  <c r="AU60" i="99"/>
  <c r="AR60" i="99"/>
  <c r="AU59" i="99"/>
  <c r="AR59" i="99"/>
  <c r="AA17" i="65"/>
  <c r="AB17" i="65" s="1"/>
  <c r="AC51" i="98" s="1"/>
  <c r="AE58" i="99" s="1"/>
  <c r="AV58" i="99"/>
  <c r="AR58" i="99"/>
  <c r="AV57" i="99"/>
  <c r="AR57" i="99"/>
  <c r="AD53" i="99"/>
  <c r="BA20" i="99" s="1"/>
  <c r="AU53" i="99"/>
  <c r="AR53" i="99"/>
  <c r="Z17" i="65"/>
  <c r="AA51" i="98" s="1"/>
  <c r="AB51" i="98"/>
  <c r="AS53" i="98"/>
  <c r="AT53" i="98"/>
  <c r="AQ53" i="98"/>
  <c r="AC19" i="65"/>
  <c r="AD53" i="98" s="1"/>
  <c r="AA21" i="65"/>
  <c r="AB21" i="65" s="1"/>
  <c r="AT55" i="98"/>
  <c r="AS55" i="98"/>
  <c r="AQ55" i="98"/>
  <c r="AR55" i="98"/>
  <c r="AA19" i="66"/>
  <c r="AQ68" i="98"/>
  <c r="AS68" i="98"/>
  <c r="AR68" i="98"/>
  <c r="AT68" i="98"/>
  <c r="AB19" i="66"/>
  <c r="AB68" i="98"/>
  <c r="Z19" i="66"/>
  <c r="AA68" i="98" s="1"/>
  <c r="AA14" i="67"/>
  <c r="AB14" i="67" s="1"/>
  <c r="AC73" i="98" s="1"/>
  <c r="AE80" i="99" s="1"/>
  <c r="AA12" i="65"/>
  <c r="AB12" i="65" s="1"/>
  <c r="AT52" i="98"/>
  <c r="AS52" i="98"/>
  <c r="AR52" i="98"/>
  <c r="AQ52" i="98"/>
  <c r="AT64" i="98"/>
  <c r="AQ64" i="98"/>
  <c r="AS64" i="98"/>
  <c r="AR64" i="98"/>
  <c r="AT45" i="98"/>
  <c r="AS45" i="98"/>
  <c r="AQ45" i="98"/>
  <c r="AR45" i="98"/>
  <c r="AT48" i="98"/>
  <c r="AS48" i="98"/>
  <c r="AQ48" i="98"/>
  <c r="AR48" i="98"/>
  <c r="AT61" i="98"/>
  <c r="AS61" i="98"/>
  <c r="AR61" i="98"/>
  <c r="AQ61" i="98"/>
  <c r="AT72" i="98"/>
  <c r="AQ72" i="98"/>
  <c r="AS72" i="98"/>
  <c r="AR72" i="98"/>
  <c r="AT46" i="98"/>
  <c r="AS46" i="98"/>
  <c r="AR46" i="98"/>
  <c r="AQ46" i="98"/>
  <c r="AT71" i="98"/>
  <c r="AS71" i="98"/>
  <c r="AQ71" i="98"/>
  <c r="AR71" i="98"/>
  <c r="AT50" i="98"/>
  <c r="AQ50" i="98"/>
  <c r="AS50" i="98"/>
  <c r="AR50" i="98"/>
  <c r="AT65" i="98"/>
  <c r="AS65" i="98"/>
  <c r="AR65" i="98"/>
  <c r="AQ65" i="98"/>
  <c r="AT47" i="98"/>
  <c r="AQ47" i="98"/>
  <c r="AS47" i="98"/>
  <c r="AR47" i="98"/>
  <c r="AT51" i="98"/>
  <c r="AS51" i="98"/>
  <c r="AQ51" i="98"/>
  <c r="AR51" i="98"/>
  <c r="AT73" i="98"/>
  <c r="AS73" i="98"/>
  <c r="AR73" i="98"/>
  <c r="AQ73" i="98"/>
  <c r="AT57" i="98"/>
  <c r="AQ57" i="98"/>
  <c r="AS57" i="98"/>
  <c r="AR57" i="98"/>
  <c r="AA23" i="65"/>
  <c r="E12" i="81"/>
  <c r="AC14" i="67"/>
  <c r="AD73" i="98" s="1"/>
  <c r="AB73" i="98"/>
  <c r="AA11" i="67"/>
  <c r="AB11" i="67" s="1"/>
  <c r="AA16" i="65"/>
  <c r="AB16" i="65" s="1"/>
  <c r="AB12" i="66"/>
  <c r="AB61" i="98"/>
  <c r="Z12" i="66"/>
  <c r="AA61" i="98" s="1"/>
  <c r="AA13" i="67"/>
  <c r="AB13" i="67" s="1"/>
  <c r="AA18" i="65"/>
  <c r="AB18" i="65" s="1"/>
  <c r="AN51" i="98"/>
  <c r="AA14" i="65"/>
  <c r="AB14" i="65" s="1"/>
  <c r="AB48" i="98"/>
  <c r="Z14" i="65"/>
  <c r="AA13" i="65"/>
  <c r="AB13" i="65" s="1"/>
  <c r="Z13" i="65"/>
  <c r="AA11" i="65"/>
  <c r="AB11" i="65" s="1"/>
  <c r="AB52" i="98"/>
  <c r="AA12" i="67"/>
  <c r="AB71" i="98" s="1"/>
  <c r="AA16" i="66"/>
  <c r="Z16" i="66" s="1"/>
  <c r="AB65" i="98"/>
  <c r="E12" i="78"/>
  <c r="AA20" i="65"/>
  <c r="E12" i="82"/>
  <c r="AA24" i="65"/>
  <c r="AA15" i="65"/>
  <c r="E12" i="86"/>
  <c r="AA13" i="66"/>
  <c r="AA15" i="66"/>
  <c r="G13" i="66"/>
  <c r="N13" i="66" s="1"/>
  <c r="O62" i="98" s="1"/>
  <c r="N19" i="66"/>
  <c r="O68" i="98" s="1"/>
  <c r="N13" i="65"/>
  <c r="N11" i="65"/>
  <c r="N16" i="66"/>
  <c r="O65" i="98" s="1"/>
  <c r="N15" i="65"/>
  <c r="N10" i="67"/>
  <c r="N14" i="66"/>
  <c r="O63" i="98" s="1"/>
  <c r="N16" i="65"/>
  <c r="N14" i="65"/>
  <c r="F18" i="65"/>
  <c r="G18" i="65" s="1"/>
  <c r="F12" i="66"/>
  <c r="G12" i="66" s="1"/>
  <c r="F10" i="66"/>
  <c r="G10" i="66" s="1"/>
  <c r="F22" i="65"/>
  <c r="F21" i="65"/>
  <c r="G21" i="65" s="1"/>
  <c r="F20" i="65"/>
  <c r="G20" i="65" s="1"/>
  <c r="F17" i="65"/>
  <c r="G17" i="65" s="1"/>
  <c r="F12" i="65"/>
  <c r="G12" i="65" s="1"/>
  <c r="N10" i="65"/>
  <c r="F18" i="66"/>
  <c r="G18" i="66" s="1"/>
  <c r="F17" i="66"/>
  <c r="G17" i="66" s="1"/>
  <c r="F15" i="66"/>
  <c r="G15" i="66" s="1"/>
  <c r="F11" i="66"/>
  <c r="F14" i="67"/>
  <c r="G14" i="67" s="1"/>
  <c r="F13" i="67"/>
  <c r="G13" i="67" s="1"/>
  <c r="F12" i="67"/>
  <c r="G12" i="67" s="1"/>
  <c r="F11" i="67"/>
  <c r="G11" i="67" s="1"/>
  <c r="AC17" i="65"/>
  <c r="AD51" i="98" s="1"/>
  <c r="AG21" i="25"/>
  <c r="AG19" i="25"/>
  <c r="AG17" i="25"/>
  <c r="AG16" i="25"/>
  <c r="AF21" i="25"/>
  <c r="AF19" i="25"/>
  <c r="AF16" i="25"/>
  <c r="AE16" i="25"/>
  <c r="AD18" i="25"/>
  <c r="AE39" i="98" s="1"/>
  <c r="AD11" i="25"/>
  <c r="AE32" i="98" s="1"/>
  <c r="Y19" i="25"/>
  <c r="Y17" i="25"/>
  <c r="Y15" i="25"/>
  <c r="Z36" i="98" s="1"/>
  <c r="Y13" i="25"/>
  <c r="Y12" i="25"/>
  <c r="Y11" i="25"/>
  <c r="X19" i="25"/>
  <c r="X17" i="25"/>
  <c r="X15" i="25"/>
  <c r="Y36" i="98" s="1"/>
  <c r="X13" i="25"/>
  <c r="X12" i="25"/>
  <c r="X11" i="25"/>
  <c r="W19" i="25"/>
  <c r="W17" i="25"/>
  <c r="W15" i="25"/>
  <c r="X36" i="98" s="1"/>
  <c r="W13" i="25"/>
  <c r="W12" i="25"/>
  <c r="W11" i="25"/>
  <c r="V15" i="25"/>
  <c r="W36" i="98" s="1"/>
  <c r="V13" i="25"/>
  <c r="V12" i="25"/>
  <c r="V11" i="25"/>
  <c r="U19" i="25"/>
  <c r="U18" i="25"/>
  <c r="U17" i="25"/>
  <c r="U15" i="25"/>
  <c r="V36" i="98" s="1"/>
  <c r="U13" i="25"/>
  <c r="U12" i="25"/>
  <c r="U11" i="25"/>
  <c r="T22" i="25"/>
  <c r="T21" i="25"/>
  <c r="T20" i="25"/>
  <c r="T19" i="25"/>
  <c r="T18" i="25"/>
  <c r="T17" i="25"/>
  <c r="T16" i="25"/>
  <c r="T15" i="25"/>
  <c r="U36" i="98" s="1"/>
  <c r="T14" i="25"/>
  <c r="T13" i="25"/>
  <c r="T12" i="25"/>
  <c r="T11" i="25"/>
  <c r="S22" i="25"/>
  <c r="S21" i="25"/>
  <c r="S20" i="25"/>
  <c r="S19" i="25"/>
  <c r="S18" i="25"/>
  <c r="S17" i="25"/>
  <c r="S16" i="25"/>
  <c r="S15" i="25"/>
  <c r="T36" i="98" s="1"/>
  <c r="S14" i="25"/>
  <c r="S13" i="25"/>
  <c r="S12" i="25"/>
  <c r="S11" i="25"/>
  <c r="R22" i="25"/>
  <c r="R21" i="25"/>
  <c r="R20" i="25"/>
  <c r="R19" i="25"/>
  <c r="R18" i="25"/>
  <c r="R17" i="25"/>
  <c r="R16" i="25"/>
  <c r="R15" i="25"/>
  <c r="S36" i="98" s="1"/>
  <c r="R14" i="25"/>
  <c r="R13" i="25"/>
  <c r="R12" i="25"/>
  <c r="R11" i="25"/>
  <c r="Q22" i="25"/>
  <c r="Q21" i="25"/>
  <c r="Q20" i="25"/>
  <c r="Q19" i="25"/>
  <c r="Q18" i="25"/>
  <c r="Q17" i="25"/>
  <c r="Q16" i="25"/>
  <c r="Q14" i="25"/>
  <c r="Q13" i="25"/>
  <c r="Q12" i="25"/>
  <c r="Q11" i="25"/>
  <c r="P22" i="25"/>
  <c r="P21" i="25"/>
  <c r="P20" i="25"/>
  <c r="P19" i="25"/>
  <c r="P18" i="25"/>
  <c r="P17" i="25"/>
  <c r="P16" i="25"/>
  <c r="P14" i="25"/>
  <c r="P13" i="25"/>
  <c r="P12" i="25"/>
  <c r="P11" i="25"/>
  <c r="O22" i="25"/>
  <c r="O21" i="25"/>
  <c r="O20" i="25"/>
  <c r="O19" i="25"/>
  <c r="O18" i="25"/>
  <c r="O17" i="25"/>
  <c r="O16" i="25"/>
  <c r="O14" i="25"/>
  <c r="O13" i="25"/>
  <c r="O12" i="25"/>
  <c r="O11" i="25"/>
  <c r="L22" i="25"/>
  <c r="L21" i="25"/>
  <c r="L20" i="25"/>
  <c r="L19" i="25"/>
  <c r="L18" i="25"/>
  <c r="L17" i="25"/>
  <c r="L16" i="25"/>
  <c r="L15" i="25"/>
  <c r="L14" i="25"/>
  <c r="L13" i="25"/>
  <c r="L12" i="25"/>
  <c r="L11" i="25"/>
  <c r="K22" i="25"/>
  <c r="K21" i="25"/>
  <c r="K20" i="25"/>
  <c r="K19" i="25"/>
  <c r="K18" i="25"/>
  <c r="K16" i="25"/>
  <c r="J22" i="25"/>
  <c r="J21" i="25"/>
  <c r="J18" i="25"/>
  <c r="I22" i="25"/>
  <c r="I18" i="25"/>
  <c r="I14" i="25"/>
  <c r="AF24" i="16"/>
  <c r="Y24" i="16"/>
  <c r="Y20" i="16"/>
  <c r="X24" i="16"/>
  <c r="X20" i="16"/>
  <c r="W24" i="16"/>
  <c r="W20" i="16"/>
  <c r="V24" i="16"/>
  <c r="V20" i="16"/>
  <c r="U24" i="16"/>
  <c r="U20" i="16"/>
  <c r="U13" i="16"/>
  <c r="U12" i="16"/>
  <c r="T25" i="16"/>
  <c r="T24" i="16"/>
  <c r="T23" i="16"/>
  <c r="T22" i="16"/>
  <c r="T21" i="16"/>
  <c r="T20" i="16"/>
  <c r="T19" i="16"/>
  <c r="T18" i="16"/>
  <c r="S25" i="16"/>
  <c r="S24" i="16"/>
  <c r="S23" i="16"/>
  <c r="S22" i="16"/>
  <c r="S21" i="16"/>
  <c r="S20" i="16"/>
  <c r="S19" i="16"/>
  <c r="S18" i="16"/>
  <c r="R25" i="16"/>
  <c r="R24" i="16"/>
  <c r="R23" i="16"/>
  <c r="R22" i="16"/>
  <c r="R20" i="16"/>
  <c r="R19" i="16"/>
  <c r="R18" i="16"/>
  <c r="Q25" i="16"/>
  <c r="Q24" i="16"/>
  <c r="Q23" i="16"/>
  <c r="Q22" i="16"/>
  <c r="Q20" i="16"/>
  <c r="Q19" i="16"/>
  <c r="Q18" i="16"/>
  <c r="P25" i="16"/>
  <c r="P24" i="16"/>
  <c r="P23" i="16"/>
  <c r="P22" i="16"/>
  <c r="P20" i="16"/>
  <c r="P19" i="16"/>
  <c r="P18" i="16"/>
  <c r="O25" i="16"/>
  <c r="O24" i="16"/>
  <c r="O23" i="16"/>
  <c r="O22" i="16"/>
  <c r="O20" i="16"/>
  <c r="O19" i="16"/>
  <c r="O18" i="16"/>
  <c r="L25" i="16"/>
  <c r="L24" i="16"/>
  <c r="L23" i="16"/>
  <c r="L22" i="16"/>
  <c r="L21" i="16"/>
  <c r="L20" i="16"/>
  <c r="L19" i="16"/>
  <c r="L18" i="16"/>
  <c r="K23" i="16"/>
  <c r="K22" i="16"/>
  <c r="K20" i="16"/>
  <c r="F12" i="64"/>
  <c r="G12" i="64"/>
  <c r="AE22" i="25" s="1"/>
  <c r="AF43" i="98" s="1"/>
  <c r="H12" i="64"/>
  <c r="AF22" i="25" s="1"/>
  <c r="AG43" i="98" s="1"/>
  <c r="I12" i="64"/>
  <c r="AG22" i="25" s="1"/>
  <c r="AH43" i="98" s="1"/>
  <c r="Y50" i="99" s="1"/>
  <c r="AC50" i="99" s="1"/>
  <c r="D15" i="64"/>
  <c r="F10" i="64"/>
  <c r="G10" i="64"/>
  <c r="H10" i="64"/>
  <c r="I10" i="64"/>
  <c r="F7" i="64"/>
  <c r="G7" i="64"/>
  <c r="H7" i="64"/>
  <c r="I7" i="64"/>
  <c r="F12" i="63"/>
  <c r="G12" i="63"/>
  <c r="AE21" i="25" s="1"/>
  <c r="AF42" i="98" s="1"/>
  <c r="H12" i="63"/>
  <c r="I12" i="63"/>
  <c r="D15" i="63"/>
  <c r="Y21" i="25"/>
  <c r="V21" i="25"/>
  <c r="F10" i="63"/>
  <c r="G10" i="63"/>
  <c r="H10" i="63"/>
  <c r="I10" i="63"/>
  <c r="F7" i="63"/>
  <c r="G7" i="63"/>
  <c r="I21" i="25" s="1"/>
  <c r="H7" i="63"/>
  <c r="I7" i="63"/>
  <c r="F12" i="62"/>
  <c r="G12" i="62"/>
  <c r="AE20" i="25" s="1"/>
  <c r="AF41" i="98" s="1"/>
  <c r="H12" i="62"/>
  <c r="AF20" i="25" s="1"/>
  <c r="I12" i="62"/>
  <c r="AG20" i="25" s="1"/>
  <c r="D15" i="62"/>
  <c r="V20" i="25"/>
  <c r="F10" i="62"/>
  <c r="G10" i="62"/>
  <c r="H10" i="62"/>
  <c r="I10" i="62"/>
  <c r="F7" i="62"/>
  <c r="G7" i="62"/>
  <c r="I20" i="25" s="1"/>
  <c r="H7" i="62"/>
  <c r="I7" i="62"/>
  <c r="F12" i="61"/>
  <c r="G12" i="61"/>
  <c r="AE19" i="25" s="1"/>
  <c r="AF40" i="98" s="1"/>
  <c r="W47" i="99" s="1"/>
  <c r="AA47" i="99" s="1"/>
  <c r="AO47" i="99" s="1"/>
  <c r="AU47" i="99" s="1"/>
  <c r="H12" i="61"/>
  <c r="I12" i="61"/>
  <c r="D15" i="61"/>
  <c r="F10" i="61"/>
  <c r="G10" i="61"/>
  <c r="H10" i="61"/>
  <c r="I10" i="61"/>
  <c r="F7" i="61"/>
  <c r="G7" i="61"/>
  <c r="I19" i="25" s="1"/>
  <c r="H7" i="61"/>
  <c r="J19" i="25" s="1"/>
  <c r="I7" i="61"/>
  <c r="F12" i="60"/>
  <c r="G12" i="60"/>
  <c r="AE18" i="25" s="1"/>
  <c r="AF39" i="98" s="1"/>
  <c r="W46" i="99" s="1"/>
  <c r="AA46" i="99" s="1"/>
  <c r="H12" i="60"/>
  <c r="AF18" i="25" s="1"/>
  <c r="AG39" i="98" s="1"/>
  <c r="X46" i="99" s="1"/>
  <c r="AB46" i="99" s="1"/>
  <c r="AP46" i="99" s="1"/>
  <c r="AV46" i="99" s="1"/>
  <c r="I12" i="60"/>
  <c r="AG18" i="25" s="1"/>
  <c r="AH39" i="98" s="1"/>
  <c r="Y46" i="99" s="1"/>
  <c r="AC46" i="99" s="1"/>
  <c r="AQ46" i="99" s="1"/>
  <c r="AW46" i="99" s="1"/>
  <c r="D15" i="60"/>
  <c r="X18" i="25"/>
  <c r="F10" i="60"/>
  <c r="G10" i="60"/>
  <c r="H10" i="60"/>
  <c r="I10" i="60"/>
  <c r="F7" i="60"/>
  <c r="G7" i="60"/>
  <c r="H7" i="60"/>
  <c r="I7" i="60"/>
  <c r="AG13" i="24"/>
  <c r="AH29" i="98" s="1"/>
  <c r="Y36" i="99" s="1"/>
  <c r="AC36" i="99" s="1"/>
  <c r="F12" i="59"/>
  <c r="G12" i="59"/>
  <c r="AE17" i="25" s="1"/>
  <c r="AF38" i="98" s="1"/>
  <c r="H12" i="59"/>
  <c r="AF17" i="25" s="1"/>
  <c r="I12" i="59"/>
  <c r="D15" i="59"/>
  <c r="F10" i="59"/>
  <c r="G10" i="59"/>
  <c r="H10" i="59"/>
  <c r="I10" i="59"/>
  <c r="F7" i="59"/>
  <c r="G7" i="59"/>
  <c r="I17" i="25" s="1"/>
  <c r="H7" i="59"/>
  <c r="J17" i="25" s="1"/>
  <c r="I7" i="59"/>
  <c r="K17" i="25" s="1"/>
  <c r="Y11" i="24"/>
  <c r="X11" i="24"/>
  <c r="W11" i="24"/>
  <c r="F12" i="58"/>
  <c r="G12" i="58"/>
  <c r="H12" i="58"/>
  <c r="I12" i="58"/>
  <c r="D15" i="58"/>
  <c r="F10" i="58"/>
  <c r="G10" i="58"/>
  <c r="H10" i="58"/>
  <c r="I10" i="58"/>
  <c r="F7" i="58"/>
  <c r="H16" i="25" s="1"/>
  <c r="G7" i="58"/>
  <c r="I16" i="25" s="1"/>
  <c r="H7" i="58"/>
  <c r="J16" i="25" s="1"/>
  <c r="I7" i="58"/>
  <c r="V11" i="24"/>
  <c r="F12" i="57"/>
  <c r="G12" i="57"/>
  <c r="AE15" i="25" s="1"/>
  <c r="AF36" i="98" s="1"/>
  <c r="H12" i="57"/>
  <c r="AF15" i="25" s="1"/>
  <c r="AG36" i="98" s="1"/>
  <c r="X43" i="99" s="1"/>
  <c r="AB43" i="99" s="1"/>
  <c r="I12" i="57"/>
  <c r="AG15" i="25" s="1"/>
  <c r="AH36" i="98" s="1"/>
  <c r="D15" i="57"/>
  <c r="F10" i="57"/>
  <c r="O15" i="25" s="1"/>
  <c r="P36" i="98" s="1"/>
  <c r="G10" i="57"/>
  <c r="P15" i="25" s="1"/>
  <c r="Q36" i="98" s="1"/>
  <c r="H10" i="57"/>
  <c r="Q15" i="25" s="1"/>
  <c r="R36" i="98" s="1"/>
  <c r="I10" i="57"/>
  <c r="F7" i="57"/>
  <c r="G7" i="57"/>
  <c r="I15" i="25" s="1"/>
  <c r="J36" i="98" s="1"/>
  <c r="H7" i="57"/>
  <c r="J15" i="25" s="1"/>
  <c r="K36" i="98" s="1"/>
  <c r="I7" i="57"/>
  <c r="K15" i="25" s="1"/>
  <c r="L36" i="98" s="1"/>
  <c r="U11" i="24"/>
  <c r="F12" i="56"/>
  <c r="D12" i="56" s="1"/>
  <c r="E12" i="56" s="1"/>
  <c r="G12" i="56"/>
  <c r="AE14" i="25" s="1"/>
  <c r="AF35" i="98" s="1"/>
  <c r="H12" i="56"/>
  <c r="AF14" i="25" s="1"/>
  <c r="AG35" i="98" s="1"/>
  <c r="I12" i="56"/>
  <c r="AG14" i="25" s="1"/>
  <c r="AH35" i="98" s="1"/>
  <c r="Y42" i="99" s="1"/>
  <c r="AC42" i="99" s="1"/>
  <c r="D15" i="56"/>
  <c r="Y14" i="25"/>
  <c r="F10" i="56"/>
  <c r="G10" i="56"/>
  <c r="H10" i="56"/>
  <c r="I10" i="56"/>
  <c r="F7" i="56"/>
  <c r="G7" i="56"/>
  <c r="H7" i="56"/>
  <c r="J14" i="25" s="1"/>
  <c r="I7" i="56"/>
  <c r="K14" i="25" s="1"/>
  <c r="T14" i="24"/>
  <c r="T13" i="24"/>
  <c r="U29" i="98" s="1"/>
  <c r="T12" i="24"/>
  <c r="T11" i="24"/>
  <c r="S14" i="24"/>
  <c r="S13" i="24"/>
  <c r="T29" i="98" s="1"/>
  <c r="S12" i="24"/>
  <c r="F12" i="55"/>
  <c r="G12" i="55"/>
  <c r="AE13" i="25" s="1"/>
  <c r="AF34" i="98" s="1"/>
  <c r="W41" i="99" s="1"/>
  <c r="AA41" i="99" s="1"/>
  <c r="H12" i="55"/>
  <c r="AF13" i="25" s="1"/>
  <c r="I12" i="55"/>
  <c r="AG13" i="25" s="1"/>
  <c r="D15" i="55"/>
  <c r="F10" i="55"/>
  <c r="G10" i="55"/>
  <c r="H10" i="55"/>
  <c r="I10" i="55"/>
  <c r="F7" i="55"/>
  <c r="G7" i="55"/>
  <c r="I13" i="25" s="1"/>
  <c r="H7" i="55"/>
  <c r="J13" i="25" s="1"/>
  <c r="I7" i="55"/>
  <c r="K13" i="25" s="1"/>
  <c r="S11" i="24"/>
  <c r="R14" i="24"/>
  <c r="R13" i="24"/>
  <c r="S29" i="98" s="1"/>
  <c r="R12" i="24"/>
  <c r="R11" i="24"/>
  <c r="Q14" i="24"/>
  <c r="Q13" i="24"/>
  <c r="R29" i="98" s="1"/>
  <c r="Q12" i="24"/>
  <c r="Q11" i="24"/>
  <c r="P14" i="24"/>
  <c r="P13" i="24"/>
  <c r="Q29" i="98" s="1"/>
  <c r="P12" i="24"/>
  <c r="P11" i="24"/>
  <c r="O14" i="24"/>
  <c r="O13" i="24"/>
  <c r="P29" i="98" s="1"/>
  <c r="O12" i="24"/>
  <c r="O11" i="24"/>
  <c r="L14" i="24"/>
  <c r="L13" i="24"/>
  <c r="L12" i="24"/>
  <c r="L11" i="24"/>
  <c r="F12" i="54"/>
  <c r="G12" i="54"/>
  <c r="AE12" i="25" s="1"/>
  <c r="AF33" i="98" s="1"/>
  <c r="H12" i="54"/>
  <c r="AF12" i="25" s="1"/>
  <c r="AG33" i="98" s="1"/>
  <c r="I12" i="54"/>
  <c r="AG12" i="25" s="1"/>
  <c r="AH33" i="98" s="1"/>
  <c r="Y40" i="99" s="1"/>
  <c r="AC40" i="99" s="1"/>
  <c r="D15" i="54"/>
  <c r="F10" i="54"/>
  <c r="G10" i="54"/>
  <c r="H10" i="54"/>
  <c r="I10" i="54"/>
  <c r="F7" i="54"/>
  <c r="G7" i="54"/>
  <c r="I12" i="25" s="1"/>
  <c r="H7" i="54"/>
  <c r="J12" i="25" s="1"/>
  <c r="I7" i="54"/>
  <c r="K12" i="25" s="1"/>
  <c r="D15" i="53"/>
  <c r="D14" i="53"/>
  <c r="E14" i="53" s="1"/>
  <c r="E13" i="53"/>
  <c r="D13" i="53"/>
  <c r="I12" i="53"/>
  <c r="AG11" i="25" s="1"/>
  <c r="AH32" i="98" s="1"/>
  <c r="Y39" i="99" s="1"/>
  <c r="AC39" i="99" s="1"/>
  <c r="AQ39" i="99" s="1"/>
  <c r="AW39" i="99" s="1"/>
  <c r="H12" i="53"/>
  <c r="AF11" i="25" s="1"/>
  <c r="AG32" i="98" s="1"/>
  <c r="X39" i="99" s="1"/>
  <c r="AB39" i="99" s="1"/>
  <c r="AP39" i="99" s="1"/>
  <c r="AV39" i="99" s="1"/>
  <c r="G12" i="53"/>
  <c r="AE11" i="25" s="1"/>
  <c r="AF32" i="98" s="1"/>
  <c r="W39" i="99" s="1"/>
  <c r="AA39" i="99" s="1"/>
  <c r="AO39" i="99" s="1"/>
  <c r="AU39" i="99" s="1"/>
  <c r="F12" i="53"/>
  <c r="D12" i="53" s="1"/>
  <c r="E12" i="53" s="1"/>
  <c r="I10" i="53"/>
  <c r="H10" i="53"/>
  <c r="G10" i="53"/>
  <c r="F10" i="53"/>
  <c r="I7" i="53"/>
  <c r="K11" i="25" s="1"/>
  <c r="H7" i="53"/>
  <c r="J11" i="25" s="1"/>
  <c r="G7" i="53"/>
  <c r="I11" i="25" s="1"/>
  <c r="F7" i="53"/>
  <c r="D15" i="52"/>
  <c r="D14" i="52"/>
  <c r="E14" i="52" s="1"/>
  <c r="E13" i="52"/>
  <c r="D13" i="52"/>
  <c r="I12" i="52"/>
  <c r="AG14" i="24" s="1"/>
  <c r="AH30" i="98" s="1"/>
  <c r="H12" i="52"/>
  <c r="AF14" i="24" s="1"/>
  <c r="AG30" i="98" s="1"/>
  <c r="G12" i="52"/>
  <c r="AE14" i="24" s="1"/>
  <c r="AF30" i="98" s="1"/>
  <c r="F12" i="52"/>
  <c r="I10" i="52"/>
  <c r="H10" i="52"/>
  <c r="G10" i="52"/>
  <c r="F10" i="52"/>
  <c r="V14" i="24"/>
  <c r="I7" i="52"/>
  <c r="K14" i="24" s="1"/>
  <c r="H7" i="52"/>
  <c r="J14" i="24" s="1"/>
  <c r="G7" i="52"/>
  <c r="I14" i="24" s="1"/>
  <c r="F7" i="52"/>
  <c r="D15" i="51"/>
  <c r="E14" i="51"/>
  <c r="D14" i="51"/>
  <c r="D13" i="51"/>
  <c r="E13" i="51" s="1"/>
  <c r="I12" i="51"/>
  <c r="H12" i="51"/>
  <c r="AF13" i="24" s="1"/>
  <c r="AG29" i="98" s="1"/>
  <c r="G12" i="51"/>
  <c r="AE13" i="24" s="1"/>
  <c r="AF29" i="98" s="1"/>
  <c r="F12" i="51"/>
  <c r="I10" i="51"/>
  <c r="H10" i="51"/>
  <c r="G10" i="51"/>
  <c r="F10" i="51"/>
  <c r="Y13" i="24"/>
  <c r="Z29" i="98" s="1"/>
  <c r="I7" i="51"/>
  <c r="K13" i="24" s="1"/>
  <c r="L29" i="98" s="1"/>
  <c r="H7" i="51"/>
  <c r="J13" i="24" s="1"/>
  <c r="K29" i="98" s="1"/>
  <c r="G7" i="51"/>
  <c r="I13" i="24" s="1"/>
  <c r="J29" i="98" s="1"/>
  <c r="F7" i="51"/>
  <c r="AB10" i="67" l="1"/>
  <c r="Z10" i="67"/>
  <c r="AA69" i="98" s="1"/>
  <c r="AB69" i="98"/>
  <c r="AO41" i="99"/>
  <c r="AD41" i="99"/>
  <c r="AA11" i="25"/>
  <c r="V39" i="99"/>
  <c r="Z39" i="99" s="1"/>
  <c r="AT32" i="98"/>
  <c r="AS32" i="98"/>
  <c r="AQ32" i="98"/>
  <c r="AR32" i="98"/>
  <c r="G11" i="66"/>
  <c r="H60" i="98" s="1"/>
  <c r="G60" i="98"/>
  <c r="AQ50" i="99"/>
  <c r="AD50" i="99"/>
  <c r="AW73" i="98"/>
  <c r="Z14" i="67"/>
  <c r="AA73" i="98" s="1"/>
  <c r="AD76" i="99"/>
  <c r="BA22" i="99" s="1"/>
  <c r="AV76" i="99"/>
  <c r="AR76" i="99"/>
  <c r="E9" i="99" s="1"/>
  <c r="AN66" i="98"/>
  <c r="AV73" i="99"/>
  <c r="AR73" i="99"/>
  <c r="E8" i="99" s="1"/>
  <c r="AU63" i="99"/>
  <c r="AR63" i="99"/>
  <c r="E7" i="99" s="1"/>
  <c r="Z18" i="65"/>
  <c r="AA52" i="98" s="1"/>
  <c r="AW51" i="98"/>
  <c r="D12" i="61"/>
  <c r="E12" i="61" s="1"/>
  <c r="AO46" i="99"/>
  <c r="AD46" i="99"/>
  <c r="AP43" i="99"/>
  <c r="AD43" i="99"/>
  <c r="AQ42" i="99"/>
  <c r="AD42" i="99"/>
  <c r="AQ40" i="99"/>
  <c r="AD40" i="99"/>
  <c r="AQ36" i="99"/>
  <c r="AD36" i="99"/>
  <c r="D7" i="57"/>
  <c r="E7" i="57" s="1"/>
  <c r="M15" i="25"/>
  <c r="N36" i="98" s="1"/>
  <c r="M36" i="98"/>
  <c r="AB46" i="98"/>
  <c r="AW46" i="98" s="1"/>
  <c r="Z21" i="65"/>
  <c r="AA55" i="98" s="1"/>
  <c r="AB16" i="66"/>
  <c r="AC16" i="66" s="1"/>
  <c r="AD65" i="98" s="1"/>
  <c r="Z12" i="65"/>
  <c r="AA46" i="98" s="1"/>
  <c r="D12" i="64"/>
  <c r="E12" i="64" s="1"/>
  <c r="AB55" i="98"/>
  <c r="AW55" i="98" s="1"/>
  <c r="AC55" i="98"/>
  <c r="AC21" i="65"/>
  <c r="AD55" i="98" s="1"/>
  <c r="AC68" i="98"/>
  <c r="AN68" i="98" s="1"/>
  <c r="AC19" i="66"/>
  <c r="AD68" i="98" s="1"/>
  <c r="AN73" i="98"/>
  <c r="AR34" i="98"/>
  <c r="AT34" i="98"/>
  <c r="AQ34" i="98"/>
  <c r="AS34" i="98"/>
  <c r="AT39" i="98"/>
  <c r="AS39" i="98"/>
  <c r="AR39" i="98"/>
  <c r="AQ39" i="98"/>
  <c r="AB23" i="65"/>
  <c r="AB57" i="98"/>
  <c r="Z23" i="65"/>
  <c r="AA57" i="98" s="1"/>
  <c r="Z13" i="67"/>
  <c r="AA72" i="98" s="1"/>
  <c r="Z11" i="67"/>
  <c r="AA70" i="98" s="1"/>
  <c r="AB70" i="98"/>
  <c r="AC70" i="98"/>
  <c r="AC11" i="67"/>
  <c r="AD70" i="98" s="1"/>
  <c r="AD15" i="25"/>
  <c r="AE36" i="98" s="1"/>
  <c r="D12" i="57"/>
  <c r="E12" i="57" s="1"/>
  <c r="D12" i="52"/>
  <c r="E12" i="52" s="1"/>
  <c r="AD14" i="24"/>
  <c r="AE30" i="98" s="1"/>
  <c r="Z16" i="65"/>
  <c r="AA50" i="98" s="1"/>
  <c r="AB50" i="98"/>
  <c r="AC50" i="98"/>
  <c r="AE57" i="99" s="1"/>
  <c r="AC16" i="65"/>
  <c r="AD50" i="98" s="1"/>
  <c r="D12" i="55"/>
  <c r="E12" i="55" s="1"/>
  <c r="AC46" i="98"/>
  <c r="AC12" i="65"/>
  <c r="AD46" i="98" s="1"/>
  <c r="AB64" i="98"/>
  <c r="Z15" i="66"/>
  <c r="AA64" i="98" s="1"/>
  <c r="AC61" i="98"/>
  <c r="AN61" i="98" s="1"/>
  <c r="AC12" i="66"/>
  <c r="AD61" i="98" s="1"/>
  <c r="AB72" i="98"/>
  <c r="AW72" i="98" s="1"/>
  <c r="AC72" i="98"/>
  <c r="AE79" i="99" s="1"/>
  <c r="AC13" i="67"/>
  <c r="AD72" i="98" s="1"/>
  <c r="AD21" i="25"/>
  <c r="AE42" i="98" s="1"/>
  <c r="D12" i="63"/>
  <c r="E12" i="63" s="1"/>
  <c r="D12" i="59"/>
  <c r="E12" i="59" s="1"/>
  <c r="AD17" i="25"/>
  <c r="AE38" i="98" s="1"/>
  <c r="AA47" i="98"/>
  <c r="AA48" i="98"/>
  <c r="AC48" i="98"/>
  <c r="AN48" i="98" s="1"/>
  <c r="AC14" i="65"/>
  <c r="AD48" i="98" s="1"/>
  <c r="AB47" i="98"/>
  <c r="AC47" i="98"/>
  <c r="AE54" i="99" s="1"/>
  <c r="AC13" i="65"/>
  <c r="AD47" i="98" s="1"/>
  <c r="Z11" i="65"/>
  <c r="AB45" i="98"/>
  <c r="AC45" i="98"/>
  <c r="AC11" i="65"/>
  <c r="AD45" i="98" s="1"/>
  <c r="AA65" i="98"/>
  <c r="AD22" i="25"/>
  <c r="AE43" i="98" s="1"/>
  <c r="Z13" i="66"/>
  <c r="AB62" i="98"/>
  <c r="AC52" i="98"/>
  <c r="AC18" i="65"/>
  <c r="AD52" i="98" s="1"/>
  <c r="AD12" i="25"/>
  <c r="AE33" i="98" s="1"/>
  <c r="D12" i="54"/>
  <c r="E12" i="54" s="1"/>
  <c r="AD19" i="25"/>
  <c r="AE40" i="98" s="1"/>
  <c r="D12" i="60"/>
  <c r="E12" i="60" s="1"/>
  <c r="AA14" i="25"/>
  <c r="AB35" i="98" s="1"/>
  <c r="AB12" i="67"/>
  <c r="AC12" i="67" s="1"/>
  <c r="AD71" i="98" s="1"/>
  <c r="Z12" i="67"/>
  <c r="AB16" i="67"/>
  <c r="AC16" i="67" s="1"/>
  <c r="AD20" i="25"/>
  <c r="AE41" i="98" s="1"/>
  <c r="D12" i="62"/>
  <c r="E12" i="62" s="1"/>
  <c r="AD16" i="25"/>
  <c r="AE37" i="98" s="1"/>
  <c r="D12" i="58"/>
  <c r="E12" i="58" s="1"/>
  <c r="AC65" i="98"/>
  <c r="AB20" i="65"/>
  <c r="AB54" i="98"/>
  <c r="Z20" i="65"/>
  <c r="M29" i="98"/>
  <c r="N29" i="98"/>
  <c r="J20" i="25"/>
  <c r="D7" i="62"/>
  <c r="E7" i="62" s="1"/>
  <c r="Z24" i="65"/>
  <c r="Z15" i="65"/>
  <c r="AB15" i="65"/>
  <c r="AB26" i="65" s="1"/>
  <c r="AC26" i="65" s="1"/>
  <c r="AD14" i="25"/>
  <c r="AE35" i="98" s="1"/>
  <c r="AB14" i="25"/>
  <c r="AC35" i="98" s="1"/>
  <c r="AE42" i="99" s="1"/>
  <c r="Z14" i="25"/>
  <c r="D12" i="51"/>
  <c r="E12" i="51" s="1"/>
  <c r="AD13" i="24"/>
  <c r="AE29" i="98" s="1"/>
  <c r="AB13" i="66"/>
  <c r="AC62" i="98" s="1"/>
  <c r="AD13" i="25"/>
  <c r="AA13" i="25"/>
  <c r="AB15" i="66"/>
  <c r="AC64" i="98" s="1"/>
  <c r="N19" i="65"/>
  <c r="O53" i="98" s="1"/>
  <c r="AC11" i="66"/>
  <c r="AD60" i="98" s="1"/>
  <c r="N10" i="66"/>
  <c r="H22" i="25"/>
  <c r="H12" i="25"/>
  <c r="H11" i="25"/>
  <c r="N22" i="65"/>
  <c r="O56" i="98" s="1"/>
  <c r="N20" i="65"/>
  <c r="O54" i="98" s="1"/>
  <c r="G26" i="65"/>
  <c r="J4" i="22" s="1"/>
  <c r="N12" i="65"/>
  <c r="N18" i="66"/>
  <c r="O67" i="98" s="1"/>
  <c r="N11" i="66"/>
  <c r="O60" i="98" s="1"/>
  <c r="H20" i="25"/>
  <c r="H15" i="25"/>
  <c r="I36" i="98" s="1"/>
  <c r="H14" i="25"/>
  <c r="H14" i="24"/>
  <c r="W21" i="25"/>
  <c r="X21" i="25"/>
  <c r="U21" i="25"/>
  <c r="AA17" i="25"/>
  <c r="X14" i="24"/>
  <c r="Y14" i="24"/>
  <c r="AA14" i="24"/>
  <c r="V22" i="25"/>
  <c r="U22" i="25"/>
  <c r="W22" i="25"/>
  <c r="X22" i="25"/>
  <c r="Y22" i="25"/>
  <c r="F21" i="25"/>
  <c r="G21" i="25" s="1"/>
  <c r="H21" i="25"/>
  <c r="X20" i="25"/>
  <c r="W20" i="25"/>
  <c r="Y20" i="25"/>
  <c r="U20" i="25"/>
  <c r="F19" i="25"/>
  <c r="G19" i="25" s="1"/>
  <c r="H19" i="25"/>
  <c r="V18" i="25"/>
  <c r="Y18" i="25"/>
  <c r="W18" i="25"/>
  <c r="F18" i="25"/>
  <c r="G18" i="25" s="1"/>
  <c r="H18" i="25"/>
  <c r="H17" i="25"/>
  <c r="V16" i="25"/>
  <c r="X16" i="25"/>
  <c r="Y16" i="25"/>
  <c r="W16" i="25"/>
  <c r="U16" i="25"/>
  <c r="U14" i="25"/>
  <c r="V14" i="25"/>
  <c r="W14" i="25"/>
  <c r="X14" i="25"/>
  <c r="H13" i="25"/>
  <c r="U14" i="24"/>
  <c r="W14" i="24"/>
  <c r="U13" i="24"/>
  <c r="V29" i="98" s="1"/>
  <c r="V13" i="24"/>
  <c r="W29" i="98" s="1"/>
  <c r="X13" i="24"/>
  <c r="Y29" i="98" s="1"/>
  <c r="W13" i="24"/>
  <c r="X29" i="98" s="1"/>
  <c r="H13" i="24"/>
  <c r="I29" i="98" s="1"/>
  <c r="F13" i="24"/>
  <c r="D15" i="50"/>
  <c r="D14" i="50"/>
  <c r="E14" i="50" s="1"/>
  <c r="E13" i="50"/>
  <c r="D13" i="50"/>
  <c r="I12" i="50"/>
  <c r="AG12" i="24" s="1"/>
  <c r="AH28" i="98" s="1"/>
  <c r="Y35" i="99" s="1"/>
  <c r="AC35" i="99" s="1"/>
  <c r="AQ35" i="99" s="1"/>
  <c r="AW35" i="99" s="1"/>
  <c r="H12" i="50"/>
  <c r="AF12" i="24" s="1"/>
  <c r="AG28" i="98" s="1"/>
  <c r="X35" i="99" s="1"/>
  <c r="AB35" i="99" s="1"/>
  <c r="AP35" i="99" s="1"/>
  <c r="AV35" i="99" s="1"/>
  <c r="G12" i="50"/>
  <c r="AE12" i="24" s="1"/>
  <c r="AF28" i="98" s="1"/>
  <c r="W35" i="99" s="1"/>
  <c r="AA35" i="99" s="1"/>
  <c r="AO35" i="99" s="1"/>
  <c r="AU35" i="99" s="1"/>
  <c r="F12" i="50"/>
  <c r="I10" i="50"/>
  <c r="H10" i="50"/>
  <c r="G10" i="50"/>
  <c r="F10" i="50"/>
  <c r="I7" i="50"/>
  <c r="K12" i="24" s="1"/>
  <c r="H7" i="50"/>
  <c r="J12" i="24" s="1"/>
  <c r="G7" i="50"/>
  <c r="I12" i="24" s="1"/>
  <c r="F7" i="50"/>
  <c r="D15" i="49"/>
  <c r="E14" i="49"/>
  <c r="D14" i="49"/>
  <c r="E13" i="49"/>
  <c r="D13" i="49"/>
  <c r="I12" i="49"/>
  <c r="AG11" i="24" s="1"/>
  <c r="AH27" i="98" s="1"/>
  <c r="H12" i="49"/>
  <c r="AF11" i="24" s="1"/>
  <c r="AG27" i="98" s="1"/>
  <c r="G12" i="49"/>
  <c r="AE11" i="24" s="1"/>
  <c r="AF27" i="98" s="1"/>
  <c r="F12" i="49"/>
  <c r="I10" i="49"/>
  <c r="H10" i="49"/>
  <c r="G10" i="49"/>
  <c r="F10" i="49"/>
  <c r="I7" i="49"/>
  <c r="K11" i="24" s="1"/>
  <c r="H7" i="49"/>
  <c r="J11" i="24" s="1"/>
  <c r="G7" i="49"/>
  <c r="F7" i="49"/>
  <c r="D15" i="48"/>
  <c r="I12" i="48"/>
  <c r="H12" i="48"/>
  <c r="G12" i="48"/>
  <c r="AE25" i="16" s="1"/>
  <c r="AF25" i="98" s="1"/>
  <c r="F12" i="48"/>
  <c r="I10" i="48"/>
  <c r="H10" i="48"/>
  <c r="G10" i="48"/>
  <c r="F10" i="48"/>
  <c r="I7" i="48"/>
  <c r="K25" i="16" s="1"/>
  <c r="H7" i="48"/>
  <c r="J25" i="16" s="1"/>
  <c r="G7" i="48"/>
  <c r="I25" i="16" s="1"/>
  <c r="F7" i="48"/>
  <c r="D15" i="47"/>
  <c r="I12" i="47"/>
  <c r="H12" i="47"/>
  <c r="G12" i="47"/>
  <c r="AE24" i="16" s="1"/>
  <c r="AF24" i="98" s="1"/>
  <c r="F12" i="47"/>
  <c r="I10" i="47"/>
  <c r="H10" i="47"/>
  <c r="G10" i="47"/>
  <c r="F10" i="47"/>
  <c r="I7" i="47"/>
  <c r="K24" i="16" s="1"/>
  <c r="H7" i="47"/>
  <c r="J24" i="16" s="1"/>
  <c r="G7" i="47"/>
  <c r="I24" i="16" s="1"/>
  <c r="F7" i="47"/>
  <c r="D15" i="46"/>
  <c r="I12" i="46"/>
  <c r="AG23" i="16" s="1"/>
  <c r="H12" i="46"/>
  <c r="AF23" i="16" s="1"/>
  <c r="AG23" i="98" s="1"/>
  <c r="G12" i="46"/>
  <c r="AE23" i="16" s="1"/>
  <c r="AF23" i="98" s="1"/>
  <c r="F12" i="46"/>
  <c r="I10" i="46"/>
  <c r="H10" i="46"/>
  <c r="G10" i="46"/>
  <c r="F10" i="46"/>
  <c r="I7" i="46"/>
  <c r="H7" i="46"/>
  <c r="J23" i="16" s="1"/>
  <c r="G7" i="46"/>
  <c r="I23" i="16" s="1"/>
  <c r="F7" i="46"/>
  <c r="D15" i="45"/>
  <c r="I12" i="45"/>
  <c r="H12" i="45"/>
  <c r="AF22" i="16" s="1"/>
  <c r="AG22" i="98" s="1"/>
  <c r="G12" i="45"/>
  <c r="AE22" i="16" s="1"/>
  <c r="AF22" i="98" s="1"/>
  <c r="F12" i="45"/>
  <c r="I10" i="45"/>
  <c r="H10" i="45"/>
  <c r="G10" i="45"/>
  <c r="F10" i="45"/>
  <c r="I7" i="45"/>
  <c r="H7" i="45"/>
  <c r="J22" i="16" s="1"/>
  <c r="G7" i="45"/>
  <c r="I22" i="16" s="1"/>
  <c r="F7" i="45"/>
  <c r="D15" i="44"/>
  <c r="I12" i="44"/>
  <c r="AG21" i="16" s="1"/>
  <c r="H12" i="44"/>
  <c r="AF21" i="16" s="1"/>
  <c r="AG21" i="98" s="1"/>
  <c r="X28" i="99" s="1"/>
  <c r="AB28" i="99" s="1"/>
  <c r="G12" i="44"/>
  <c r="AE21" i="16" s="1"/>
  <c r="AF21" i="98" s="1"/>
  <c r="F12" i="44"/>
  <c r="I10" i="44"/>
  <c r="R21" i="16" s="1"/>
  <c r="H10" i="44"/>
  <c r="Q21" i="16" s="1"/>
  <c r="G10" i="44"/>
  <c r="P21" i="16" s="1"/>
  <c r="F10" i="44"/>
  <c r="O21" i="16" s="1"/>
  <c r="I7" i="44"/>
  <c r="K21" i="16" s="1"/>
  <c r="H7" i="44"/>
  <c r="J21" i="16" s="1"/>
  <c r="G7" i="44"/>
  <c r="I21" i="16" s="1"/>
  <c r="F7" i="44"/>
  <c r="D15" i="43"/>
  <c r="I12" i="43"/>
  <c r="H12" i="43"/>
  <c r="AF20" i="16" s="1"/>
  <c r="AG20" i="98" s="1"/>
  <c r="G12" i="43"/>
  <c r="AE20" i="16" s="1"/>
  <c r="AF20" i="98" s="1"/>
  <c r="F12" i="43"/>
  <c r="D12" i="43" s="1"/>
  <c r="E12" i="43" s="1"/>
  <c r="I10" i="43"/>
  <c r="H10" i="43"/>
  <c r="G10" i="43"/>
  <c r="F10" i="43"/>
  <c r="I7" i="43"/>
  <c r="H7" i="43"/>
  <c r="J20" i="16" s="1"/>
  <c r="G7" i="43"/>
  <c r="I20" i="16" s="1"/>
  <c r="F7" i="43"/>
  <c r="D15" i="42"/>
  <c r="I12" i="42"/>
  <c r="AG19" i="16" s="1"/>
  <c r="H12" i="42"/>
  <c r="AF19" i="16" s="1"/>
  <c r="AG19" i="98" s="1"/>
  <c r="G12" i="42"/>
  <c r="AE19" i="16" s="1"/>
  <c r="AF19" i="98" s="1"/>
  <c r="W26" i="99" s="1"/>
  <c r="AA26" i="99" s="1"/>
  <c r="F12" i="42"/>
  <c r="I10" i="42"/>
  <c r="H10" i="42"/>
  <c r="G10" i="42"/>
  <c r="F10" i="42"/>
  <c r="I7" i="42"/>
  <c r="K19" i="16" s="1"/>
  <c r="H7" i="42"/>
  <c r="J19" i="16" s="1"/>
  <c r="G7" i="42"/>
  <c r="I19" i="16" s="1"/>
  <c r="F7" i="42"/>
  <c r="D15" i="41"/>
  <c r="I12" i="41"/>
  <c r="H12" i="41"/>
  <c r="AF18" i="16" s="1"/>
  <c r="G12" i="41"/>
  <c r="AE18" i="16" s="1"/>
  <c r="F12" i="41"/>
  <c r="D12" i="41" s="1"/>
  <c r="E12" i="41" s="1"/>
  <c r="I10" i="41"/>
  <c r="H10" i="41"/>
  <c r="G10" i="41"/>
  <c r="F10" i="41"/>
  <c r="I7" i="41"/>
  <c r="K18" i="16" s="1"/>
  <c r="H7" i="41"/>
  <c r="J18" i="16" s="1"/>
  <c r="G7" i="41"/>
  <c r="I18" i="16" s="1"/>
  <c r="F7" i="41"/>
  <c r="AG17" i="16"/>
  <c r="AG16" i="16"/>
  <c r="AH16" i="98" s="1"/>
  <c r="Y23" i="99" s="1"/>
  <c r="AC23" i="99" s="1"/>
  <c r="AQ23" i="99" s="1"/>
  <c r="AW23" i="99" s="1"/>
  <c r="AG15" i="16"/>
  <c r="AG11" i="16"/>
  <c r="AF17" i="16"/>
  <c r="AF13" i="16"/>
  <c r="AG13" i="98" s="1"/>
  <c r="AE14" i="16"/>
  <c r="AF14" i="98" s="1"/>
  <c r="Y13" i="16"/>
  <c r="Y12" i="16"/>
  <c r="Y11" i="16"/>
  <c r="X13" i="16"/>
  <c r="X12" i="16"/>
  <c r="X11" i="16"/>
  <c r="W13" i="16"/>
  <c r="W12" i="16"/>
  <c r="W11" i="16"/>
  <c r="V13" i="16"/>
  <c r="V12" i="16"/>
  <c r="V11" i="16"/>
  <c r="U11" i="16"/>
  <c r="T17" i="16"/>
  <c r="T16" i="16"/>
  <c r="T15" i="16"/>
  <c r="T14" i="16"/>
  <c r="T13" i="16"/>
  <c r="T12" i="16"/>
  <c r="T11" i="16"/>
  <c r="S17" i="16"/>
  <c r="S16" i="16"/>
  <c r="S15" i="16"/>
  <c r="S14" i="16"/>
  <c r="S13" i="16"/>
  <c r="S12" i="16"/>
  <c r="S11" i="16"/>
  <c r="S10" i="16"/>
  <c r="R17" i="16"/>
  <c r="R16" i="16"/>
  <c r="R15" i="16"/>
  <c r="R14" i="16"/>
  <c r="R13" i="16"/>
  <c r="R12" i="16"/>
  <c r="R11" i="16"/>
  <c r="Q17" i="16"/>
  <c r="Q16" i="16"/>
  <c r="Q15" i="16"/>
  <c r="Q14" i="16"/>
  <c r="Q13" i="16"/>
  <c r="Q12" i="16"/>
  <c r="Q11" i="16"/>
  <c r="P17" i="16"/>
  <c r="P16" i="16"/>
  <c r="P15" i="16"/>
  <c r="P14" i="16"/>
  <c r="P13" i="16"/>
  <c r="P12" i="16"/>
  <c r="P11" i="16"/>
  <c r="O17" i="16"/>
  <c r="O16" i="16"/>
  <c r="O15" i="16"/>
  <c r="O14" i="16"/>
  <c r="O13" i="16"/>
  <c r="O12" i="16"/>
  <c r="O11" i="16"/>
  <c r="L17" i="16"/>
  <c r="L16" i="16"/>
  <c r="L15" i="16"/>
  <c r="L14" i="16"/>
  <c r="L13" i="16"/>
  <c r="L12" i="16"/>
  <c r="L11" i="16"/>
  <c r="K17" i="16"/>
  <c r="F12" i="40"/>
  <c r="G12" i="40"/>
  <c r="AE17" i="16" s="1"/>
  <c r="AF17" i="98" s="1"/>
  <c r="H12" i="40"/>
  <c r="I12" i="40"/>
  <c r="D15" i="40"/>
  <c r="X17" i="16"/>
  <c r="F10" i="40"/>
  <c r="G10" i="40"/>
  <c r="H10" i="40"/>
  <c r="I10" i="40"/>
  <c r="F7" i="40"/>
  <c r="G7" i="40"/>
  <c r="I17" i="16" s="1"/>
  <c r="H7" i="40"/>
  <c r="J17" i="16" s="1"/>
  <c r="I7" i="40"/>
  <c r="G10" i="39"/>
  <c r="H10" i="39"/>
  <c r="F12" i="39"/>
  <c r="G12" i="39"/>
  <c r="AE16" i="16" s="1"/>
  <c r="AF16" i="98" s="1"/>
  <c r="H12" i="39"/>
  <c r="AF16" i="16" s="1"/>
  <c r="AG16" i="98" s="1"/>
  <c r="X23" i="99" s="1"/>
  <c r="AB23" i="99" s="1"/>
  <c r="I12" i="39"/>
  <c r="D15" i="39"/>
  <c r="F10" i="39"/>
  <c r="I10" i="39"/>
  <c r="F7" i="39"/>
  <c r="G7" i="39"/>
  <c r="I16" i="16" s="1"/>
  <c r="H7" i="39"/>
  <c r="J16" i="16" s="1"/>
  <c r="I7" i="39"/>
  <c r="K16" i="16" s="1"/>
  <c r="F12" i="38"/>
  <c r="G12" i="38"/>
  <c r="AE15" i="16" s="1"/>
  <c r="AF15" i="98" s="1"/>
  <c r="H12" i="38"/>
  <c r="AF15" i="16" s="1"/>
  <c r="I12" i="38"/>
  <c r="D15" i="38"/>
  <c r="F10" i="38"/>
  <c r="G10" i="38"/>
  <c r="H10" i="38"/>
  <c r="I10" i="38"/>
  <c r="F7" i="38"/>
  <c r="G7" i="38"/>
  <c r="I15" i="16" s="1"/>
  <c r="H7" i="38"/>
  <c r="J15" i="16" s="1"/>
  <c r="I7" i="38"/>
  <c r="K15" i="16" s="1"/>
  <c r="F12" i="37"/>
  <c r="G12" i="37"/>
  <c r="H12" i="37"/>
  <c r="AF14" i="16" s="1"/>
  <c r="AG14" i="98" s="1"/>
  <c r="I12" i="37"/>
  <c r="AG14" i="16" s="1"/>
  <c r="AH14" i="98" s="1"/>
  <c r="D15" i="37"/>
  <c r="F10" i="37"/>
  <c r="G10" i="37"/>
  <c r="H10" i="37"/>
  <c r="I10" i="37"/>
  <c r="F7" i="37"/>
  <c r="G7" i="37"/>
  <c r="I14" i="16" s="1"/>
  <c r="H7" i="37"/>
  <c r="J14" i="16" s="1"/>
  <c r="I7" i="37"/>
  <c r="K14" i="16" s="1"/>
  <c r="F12" i="36"/>
  <c r="G12" i="36"/>
  <c r="AE13" i="16" s="1"/>
  <c r="AF13" i="98" s="1"/>
  <c r="W20" i="99" s="1"/>
  <c r="AA20" i="99" s="1"/>
  <c r="H12" i="36"/>
  <c r="I12" i="36"/>
  <c r="AG13" i="16" s="1"/>
  <c r="AH13" i="98" s="1"/>
  <c r="D15" i="36"/>
  <c r="F10" i="36"/>
  <c r="G10" i="36"/>
  <c r="H10" i="36"/>
  <c r="I10" i="36"/>
  <c r="F7" i="36"/>
  <c r="G7" i="36"/>
  <c r="I13" i="16" s="1"/>
  <c r="H7" i="36"/>
  <c r="J13" i="16" s="1"/>
  <c r="I7" i="36"/>
  <c r="K13" i="16" s="1"/>
  <c r="F12" i="35"/>
  <c r="G12" i="35"/>
  <c r="AE12" i="16" s="1"/>
  <c r="AF12" i="98" s="1"/>
  <c r="H12" i="35"/>
  <c r="AF12" i="16" s="1"/>
  <c r="AG12" i="98" s="1"/>
  <c r="X19" i="99" s="1"/>
  <c r="AB19" i="99" s="1"/>
  <c r="I12" i="35"/>
  <c r="AG12" i="16" s="1"/>
  <c r="D15" i="35"/>
  <c r="F10" i="35"/>
  <c r="G10" i="35"/>
  <c r="H10" i="35"/>
  <c r="I10" i="35"/>
  <c r="F7" i="35"/>
  <c r="G7" i="35"/>
  <c r="I12" i="16" s="1"/>
  <c r="H7" i="35"/>
  <c r="J12" i="16" s="1"/>
  <c r="I7" i="35"/>
  <c r="K12" i="16" s="1"/>
  <c r="AW69" i="98" l="1"/>
  <c r="AC69" i="98"/>
  <c r="AE76" i="99" s="1"/>
  <c r="BB22" i="99" s="1"/>
  <c r="G9" i="99" s="1"/>
  <c r="AC10" i="67"/>
  <c r="AD69" i="98" s="1"/>
  <c r="AU41" i="99"/>
  <c r="AR41" i="99"/>
  <c r="AN39" i="99"/>
  <c r="AD39" i="99"/>
  <c r="AB11" i="25"/>
  <c r="AC32" i="98" s="1"/>
  <c r="AE39" i="99" s="1"/>
  <c r="AB32" i="98"/>
  <c r="Z11" i="25"/>
  <c r="AA32" i="98" s="1"/>
  <c r="AP28" i="99"/>
  <c r="AP23" i="99"/>
  <c r="AD23" i="99"/>
  <c r="AP19" i="99"/>
  <c r="AD19" i="99"/>
  <c r="AN60" i="98"/>
  <c r="AO60" i="98"/>
  <c r="AA22" i="25"/>
  <c r="AB22" i="25" s="1"/>
  <c r="AC43" i="98" s="1"/>
  <c r="AE50" i="99" s="1"/>
  <c r="AN65" i="98"/>
  <c r="AE72" i="99"/>
  <c r="BB21" i="99" s="1"/>
  <c r="G8" i="99" s="1"/>
  <c r="AW65" i="98"/>
  <c r="AW50" i="99"/>
  <c r="AR50" i="99"/>
  <c r="AW47" i="98"/>
  <c r="AN55" i="98"/>
  <c r="AE62" i="99"/>
  <c r="AN52" i="98"/>
  <c r="AE59" i="99"/>
  <c r="AW52" i="98"/>
  <c r="AW50" i="98"/>
  <c r="AN46" i="98"/>
  <c r="AE53" i="99"/>
  <c r="AO26" i="99"/>
  <c r="AA19" i="25"/>
  <c r="Z19" i="25" s="1"/>
  <c r="V47" i="99"/>
  <c r="Z47" i="99" s="1"/>
  <c r="AA18" i="25"/>
  <c r="AU46" i="99"/>
  <c r="AR46" i="99"/>
  <c r="AV43" i="99"/>
  <c r="AR43" i="99"/>
  <c r="AW35" i="98"/>
  <c r="AW42" i="99"/>
  <c r="AR42" i="99"/>
  <c r="AW40" i="99"/>
  <c r="AR40" i="99"/>
  <c r="AW36" i="99"/>
  <c r="AR36" i="99"/>
  <c r="AD12" i="24"/>
  <c r="AE28" i="98" s="1"/>
  <c r="D12" i="50"/>
  <c r="E12" i="50" s="1"/>
  <c r="AO20" i="99"/>
  <c r="AD20" i="99"/>
  <c r="D12" i="42"/>
  <c r="E12" i="42" s="1"/>
  <c r="D12" i="38"/>
  <c r="E12" i="38" s="1"/>
  <c r="D12" i="36"/>
  <c r="E12" i="36" s="1"/>
  <c r="D12" i="46"/>
  <c r="E12" i="46" s="1"/>
  <c r="D12" i="49"/>
  <c r="E12" i="49" s="1"/>
  <c r="D12" i="39"/>
  <c r="E12" i="39" s="1"/>
  <c r="Z22" i="25"/>
  <c r="AA43" i="98" s="1"/>
  <c r="AB43" i="98"/>
  <c r="AW43" i="98" s="1"/>
  <c r="AN47" i="98"/>
  <c r="AT40" i="98"/>
  <c r="AQ40" i="98"/>
  <c r="AS40" i="98"/>
  <c r="AR40" i="98"/>
  <c r="AT42" i="98"/>
  <c r="AS42" i="98"/>
  <c r="AQ42" i="98"/>
  <c r="AR42" i="98"/>
  <c r="AT30" i="98"/>
  <c r="AS30" i="98"/>
  <c r="AQ30" i="98"/>
  <c r="AR30" i="98"/>
  <c r="AT35" i="98"/>
  <c r="AQ35" i="98"/>
  <c r="AS35" i="98"/>
  <c r="AR35" i="98"/>
  <c r="AT41" i="98"/>
  <c r="AS41" i="98"/>
  <c r="AR41" i="98"/>
  <c r="AQ41" i="98"/>
  <c r="AT33" i="98"/>
  <c r="AS33" i="98"/>
  <c r="AR33" i="98"/>
  <c r="AQ33" i="98"/>
  <c r="AT38" i="98"/>
  <c r="AS38" i="98"/>
  <c r="AQ38" i="98"/>
  <c r="AR38" i="98"/>
  <c r="AT37" i="98"/>
  <c r="AQ37" i="98"/>
  <c r="AS37" i="98"/>
  <c r="AR37" i="98"/>
  <c r="AT43" i="98"/>
  <c r="AQ43" i="98"/>
  <c r="AS43" i="98"/>
  <c r="AR43" i="98"/>
  <c r="AT29" i="98"/>
  <c r="AQ29" i="98"/>
  <c r="AS29" i="98"/>
  <c r="AR29" i="98"/>
  <c r="AN72" i="98"/>
  <c r="AT36" i="98"/>
  <c r="AS36" i="98"/>
  <c r="AR36" i="98"/>
  <c r="AQ36" i="98"/>
  <c r="AC57" i="98"/>
  <c r="AC23" i="65"/>
  <c r="AD57" i="98" s="1"/>
  <c r="AD22" i="16"/>
  <c r="AE22" i="98" s="1"/>
  <c r="D12" i="45"/>
  <c r="E12" i="45" s="1"/>
  <c r="D12" i="37"/>
  <c r="E12" i="37" s="1"/>
  <c r="AN70" i="98"/>
  <c r="AA15" i="25"/>
  <c r="AB15" i="25" s="1"/>
  <c r="AC36" i="98" s="1"/>
  <c r="AE43" i="99" s="1"/>
  <c r="AN50" i="98"/>
  <c r="AB13" i="25"/>
  <c r="AC34" i="98" s="1"/>
  <c r="AE41" i="99" s="1"/>
  <c r="AB34" i="98"/>
  <c r="AW34" i="98" s="1"/>
  <c r="Z13" i="25"/>
  <c r="AA34" i="98" s="1"/>
  <c r="AN64" i="98"/>
  <c r="AD21" i="16"/>
  <c r="AE21" i="98" s="1"/>
  <c r="D12" i="44"/>
  <c r="E12" i="44" s="1"/>
  <c r="AB17" i="25"/>
  <c r="AC38" i="98" s="1"/>
  <c r="AB38" i="98"/>
  <c r="Z17" i="25"/>
  <c r="AA38" i="98" s="1"/>
  <c r="AA45" i="98"/>
  <c r="D12" i="35"/>
  <c r="E12" i="35" s="1"/>
  <c r="AD14" i="16"/>
  <c r="AE14" i="98" s="1"/>
  <c r="AN45" i="98"/>
  <c r="AA58" i="98"/>
  <c r="AA54" i="98"/>
  <c r="AA62" i="98"/>
  <c r="AA35" i="98"/>
  <c r="AA49" i="98"/>
  <c r="AA71" i="98"/>
  <c r="AN62" i="98"/>
  <c r="AD17" i="16"/>
  <c r="AE17" i="98" s="1"/>
  <c r="D12" i="40"/>
  <c r="E12" i="40" s="1"/>
  <c r="AB14" i="24"/>
  <c r="AC30" i="98" s="1"/>
  <c r="AB30" i="98"/>
  <c r="Z14" i="24"/>
  <c r="AB40" i="98"/>
  <c r="AB18" i="25"/>
  <c r="AC39" i="98" s="1"/>
  <c r="AE46" i="99" s="1"/>
  <c r="AB39" i="98"/>
  <c r="AW39" i="98" s="1"/>
  <c r="Z18" i="25"/>
  <c r="AN35" i="98"/>
  <c r="AC71" i="98"/>
  <c r="AN71" i="98" s="1"/>
  <c r="I11" i="24"/>
  <c r="J27" i="98" s="1"/>
  <c r="D7" i="49"/>
  <c r="E7" i="49" s="1"/>
  <c r="AA20" i="25"/>
  <c r="AB41" i="98" s="1"/>
  <c r="AB36" i="98"/>
  <c r="Z15" i="25"/>
  <c r="AC54" i="98"/>
  <c r="AN54" i="98" s="1"/>
  <c r="AC20" i="65"/>
  <c r="AD54" i="98" s="1"/>
  <c r="G13" i="24"/>
  <c r="H29" i="98" s="1"/>
  <c r="AO29" i="98" s="1"/>
  <c r="G29" i="98"/>
  <c r="N75" i="98"/>
  <c r="AB20" i="25"/>
  <c r="AC41" i="98" s="1"/>
  <c r="Z20" i="25"/>
  <c r="AC24" i="65"/>
  <c r="AD58" i="98" s="1"/>
  <c r="AC15" i="65"/>
  <c r="D12" i="48"/>
  <c r="AD25" i="16"/>
  <c r="AE25" i="98" s="1"/>
  <c r="AD24" i="16"/>
  <c r="D12" i="47"/>
  <c r="E12" i="47" s="1"/>
  <c r="AA13" i="24"/>
  <c r="AB29" i="98" s="1"/>
  <c r="AB13" i="24"/>
  <c r="AC29" i="98" s="1"/>
  <c r="AE36" i="99" s="1"/>
  <c r="Z13" i="24"/>
  <c r="AC13" i="66"/>
  <c r="AD62" i="98" s="1"/>
  <c r="AC15" i="66"/>
  <c r="AD64" i="98" s="1"/>
  <c r="AB21" i="66"/>
  <c r="AC21" i="66" s="1"/>
  <c r="H21" i="16"/>
  <c r="D7" i="44"/>
  <c r="E7" i="44" s="1"/>
  <c r="N18" i="65"/>
  <c r="O52" i="98" s="1"/>
  <c r="H20" i="16"/>
  <c r="N12" i="66"/>
  <c r="O61" i="98" s="1"/>
  <c r="N21" i="65"/>
  <c r="O55" i="98" s="1"/>
  <c r="H25" i="16"/>
  <c r="H24" i="16"/>
  <c r="H23" i="16"/>
  <c r="H22" i="16"/>
  <c r="N17" i="65"/>
  <c r="R3" i="22"/>
  <c r="N26" i="65"/>
  <c r="G21" i="66"/>
  <c r="K4" i="22" s="1"/>
  <c r="S3" i="22" s="1"/>
  <c r="N17" i="66"/>
  <c r="O66" i="98" s="1"/>
  <c r="N15" i="66"/>
  <c r="O64" i="98" s="1"/>
  <c r="H19" i="16"/>
  <c r="H18" i="16"/>
  <c r="H17" i="16"/>
  <c r="N14" i="67"/>
  <c r="O73" i="98" s="1"/>
  <c r="N13" i="67"/>
  <c r="O72" i="98" s="1"/>
  <c r="N12" i="67"/>
  <c r="O71" i="98" s="1"/>
  <c r="G16" i="67"/>
  <c r="N11" i="67"/>
  <c r="O70" i="98" s="1"/>
  <c r="H12" i="24"/>
  <c r="H11" i="24"/>
  <c r="AA21" i="25"/>
  <c r="AA16" i="25"/>
  <c r="F14" i="25"/>
  <c r="G14" i="25" s="1"/>
  <c r="AA12" i="25"/>
  <c r="AD11" i="24"/>
  <c r="AE27" i="98" s="1"/>
  <c r="AA24" i="16"/>
  <c r="AB24" i="98" s="1"/>
  <c r="AD23" i="16"/>
  <c r="AE23" i="98" s="1"/>
  <c r="AD20" i="16"/>
  <c r="AE20" i="98" s="1"/>
  <c r="AD19" i="16"/>
  <c r="AE19" i="98" s="1"/>
  <c r="AD18" i="16"/>
  <c r="AE18" i="98" s="1"/>
  <c r="AD16" i="16"/>
  <c r="AE16" i="98" s="1"/>
  <c r="AA15" i="16"/>
  <c r="AD15" i="16"/>
  <c r="AE15" i="98" s="1"/>
  <c r="AA13" i="16"/>
  <c r="AD13" i="16"/>
  <c r="AE13" i="98" s="1"/>
  <c r="AD12" i="16"/>
  <c r="AE12" i="98" s="1"/>
  <c r="U14" i="16"/>
  <c r="V14" i="16"/>
  <c r="W14" i="16"/>
  <c r="X14" i="16"/>
  <c r="Y14" i="16"/>
  <c r="V25" i="16"/>
  <c r="U25" i="16"/>
  <c r="W25" i="16"/>
  <c r="X25" i="16"/>
  <c r="Y25" i="16"/>
  <c r="F22" i="25"/>
  <c r="G22" i="25" s="1"/>
  <c r="F20" i="25"/>
  <c r="G20" i="25" s="1"/>
  <c r="F17" i="25"/>
  <c r="G17" i="25" s="1"/>
  <c r="F16" i="25"/>
  <c r="G16" i="25" s="1"/>
  <c r="F15" i="25"/>
  <c r="F13" i="25"/>
  <c r="G13" i="25" s="1"/>
  <c r="F12" i="25"/>
  <c r="G12" i="25" s="1"/>
  <c r="F11" i="25"/>
  <c r="G11" i="25" s="1"/>
  <c r="F14" i="24"/>
  <c r="G14" i="24" s="1"/>
  <c r="Y12" i="24"/>
  <c r="V12" i="24"/>
  <c r="X12" i="24"/>
  <c r="W12" i="24"/>
  <c r="U12" i="24"/>
  <c r="Y23" i="16"/>
  <c r="X23" i="16"/>
  <c r="W23" i="16"/>
  <c r="V23" i="16"/>
  <c r="U23" i="16"/>
  <c r="W22" i="16"/>
  <c r="V22" i="16"/>
  <c r="Y22" i="16"/>
  <c r="X22" i="16"/>
  <c r="U22" i="16"/>
  <c r="Y21" i="16"/>
  <c r="W21" i="16"/>
  <c r="U21" i="16"/>
  <c r="V21" i="16"/>
  <c r="X21" i="16"/>
  <c r="V19" i="16"/>
  <c r="U19" i="16"/>
  <c r="W19" i="16"/>
  <c r="X19" i="16"/>
  <c r="Y19" i="16"/>
  <c r="Y18" i="16"/>
  <c r="X18" i="16"/>
  <c r="W18" i="16"/>
  <c r="V18" i="16"/>
  <c r="U18" i="16"/>
  <c r="Y17" i="16"/>
  <c r="U17" i="16"/>
  <c r="V17" i="16"/>
  <c r="W17" i="16"/>
  <c r="U16" i="16"/>
  <c r="V16" i="16"/>
  <c r="W16" i="16"/>
  <c r="X16" i="16"/>
  <c r="Y16" i="16"/>
  <c r="H16" i="16"/>
  <c r="X15" i="16"/>
  <c r="H15" i="16"/>
  <c r="H14" i="16"/>
  <c r="H13" i="16"/>
  <c r="H12" i="16"/>
  <c r="Y15" i="16"/>
  <c r="W15" i="16"/>
  <c r="V15" i="16"/>
  <c r="U15" i="16"/>
  <c r="D15" i="19"/>
  <c r="F7" i="19"/>
  <c r="G7" i="19"/>
  <c r="H7" i="19"/>
  <c r="I7" i="19"/>
  <c r="F10" i="19"/>
  <c r="G10" i="19"/>
  <c r="H10" i="19"/>
  <c r="I10" i="19"/>
  <c r="F12" i="19"/>
  <c r="G12" i="19"/>
  <c r="H12" i="19"/>
  <c r="I12" i="19"/>
  <c r="D13" i="19"/>
  <c r="D14" i="19"/>
  <c r="AN69" i="98" l="1"/>
  <c r="AB19" i="25"/>
  <c r="AC40" i="98" s="1"/>
  <c r="AE47" i="99" s="1"/>
  <c r="AT39" i="99"/>
  <c r="AR39" i="99"/>
  <c r="AN32" i="98"/>
  <c r="AW32" i="98"/>
  <c r="AV28" i="99"/>
  <c r="AV23" i="99"/>
  <c r="AR23" i="99"/>
  <c r="AV19" i="99"/>
  <c r="AR19" i="99"/>
  <c r="AN43" i="98"/>
  <c r="AN57" i="98"/>
  <c r="AE64" i="99"/>
  <c r="BB20" i="99" s="1"/>
  <c r="G7" i="99" s="1"/>
  <c r="AW57" i="98"/>
  <c r="AU26" i="99"/>
  <c r="AN47" i="99"/>
  <c r="AD47" i="99"/>
  <c r="AW36" i="98"/>
  <c r="AW29" i="98"/>
  <c r="V35" i="99"/>
  <c r="Z35" i="99" s="1"/>
  <c r="AT28" i="98"/>
  <c r="AS28" i="98"/>
  <c r="AR28" i="98"/>
  <c r="AQ28" i="98"/>
  <c r="AU20" i="99"/>
  <c r="AR20" i="99"/>
  <c r="AA16" i="16"/>
  <c r="AB16" i="16" s="1"/>
  <c r="AC16" i="98" s="1"/>
  <c r="AE23" i="99" s="1"/>
  <c r="AT15" i="98"/>
  <c r="AQ15" i="98"/>
  <c r="AS15" i="98"/>
  <c r="AR15" i="98"/>
  <c r="AB15" i="16"/>
  <c r="AC15" i="98" s="1"/>
  <c r="AB15" i="98"/>
  <c r="Z15" i="16"/>
  <c r="AA15" i="98" s="1"/>
  <c r="G15" i="25"/>
  <c r="H36" i="98" s="1"/>
  <c r="AO36" i="98" s="1"/>
  <c r="G36" i="98"/>
  <c r="AS16" i="98"/>
  <c r="AR16" i="98"/>
  <c r="AQ16" i="98"/>
  <c r="AT16" i="98"/>
  <c r="AA14" i="16"/>
  <c r="AB14" i="16" s="1"/>
  <c r="AC14" i="98" s="1"/>
  <c r="AA21" i="16"/>
  <c r="AB21" i="98" s="1"/>
  <c r="AT13" i="98"/>
  <c r="AS13" i="98"/>
  <c r="AR13" i="98"/>
  <c r="AQ13" i="98"/>
  <c r="AT27" i="98"/>
  <c r="AS27" i="98"/>
  <c r="AQ27" i="98"/>
  <c r="AR27" i="98"/>
  <c r="AT14" i="98"/>
  <c r="AS14" i="98"/>
  <c r="AR14" i="98"/>
  <c r="AQ14" i="98"/>
  <c r="AT12" i="98"/>
  <c r="AS12" i="98"/>
  <c r="AR12" i="98"/>
  <c r="AQ12" i="98"/>
  <c r="AT17" i="98"/>
  <c r="AS17" i="98"/>
  <c r="AR17" i="98"/>
  <c r="AQ17" i="98"/>
  <c r="AN38" i="98"/>
  <c r="AT18" i="98"/>
  <c r="AS18" i="98"/>
  <c r="AR18" i="98"/>
  <c r="AQ18" i="98"/>
  <c r="AN30" i="98"/>
  <c r="AB14" i="98"/>
  <c r="Z14" i="16"/>
  <c r="AA14" i="98" s="1"/>
  <c r="AN36" i="98"/>
  <c r="AN34" i="98"/>
  <c r="AB21" i="25"/>
  <c r="AC42" i="98" s="1"/>
  <c r="AB42" i="98"/>
  <c r="Z21" i="25"/>
  <c r="AA42" i="98" s="1"/>
  <c r="AA12" i="16"/>
  <c r="AA40" i="98"/>
  <c r="AA41" i="98"/>
  <c r="AA36" i="98"/>
  <c r="AA39" i="98"/>
  <c r="AA29" i="98"/>
  <c r="AA30" i="98"/>
  <c r="AB13" i="16"/>
  <c r="AC13" i="98" s="1"/>
  <c r="AB13" i="98"/>
  <c r="AW13" i="98" s="1"/>
  <c r="Z13" i="16"/>
  <c r="AN41" i="98"/>
  <c r="AB12" i="25"/>
  <c r="AC33" i="98" s="1"/>
  <c r="AE40" i="99" s="1"/>
  <c r="AB33" i="98"/>
  <c r="AW33" i="98" s="1"/>
  <c r="Z12" i="25"/>
  <c r="AN39" i="98"/>
  <c r="AB16" i="25"/>
  <c r="AC37" i="98" s="1"/>
  <c r="AB37" i="98"/>
  <c r="Z16" i="25"/>
  <c r="AN29" i="98"/>
  <c r="O75" i="98"/>
  <c r="E12" i="48"/>
  <c r="AA25" i="16"/>
  <c r="AB25" i="98" s="1"/>
  <c r="AB24" i="16"/>
  <c r="AC24" i="98" s="1"/>
  <c r="AN24" i="98" s="1"/>
  <c r="Z24" i="16"/>
  <c r="N21" i="66"/>
  <c r="L4" i="22"/>
  <c r="T3" i="22" s="1"/>
  <c r="N16" i="67"/>
  <c r="AA12" i="24"/>
  <c r="AA11" i="24"/>
  <c r="AA23" i="16"/>
  <c r="AA22" i="16"/>
  <c r="AA20" i="16"/>
  <c r="AA19" i="16"/>
  <c r="AA18" i="16"/>
  <c r="AA17" i="16"/>
  <c r="F12" i="24"/>
  <c r="G12" i="24" s="1"/>
  <c r="F11" i="24"/>
  <c r="F25" i="16"/>
  <c r="G25" i="16" s="1"/>
  <c r="F24" i="16"/>
  <c r="G24" i="16" s="1"/>
  <c r="F23" i="16"/>
  <c r="G23" i="16" s="1"/>
  <c r="F22" i="16"/>
  <c r="G22" i="16" s="1"/>
  <c r="F21" i="16"/>
  <c r="G21" i="16" s="1"/>
  <c r="F20" i="16"/>
  <c r="G20" i="16" s="1"/>
  <c r="G19" i="16"/>
  <c r="F18" i="16"/>
  <c r="G18" i="16" s="1"/>
  <c r="F17" i="16"/>
  <c r="G17" i="16" s="1"/>
  <c r="F16" i="16"/>
  <c r="G16" i="16" s="1"/>
  <c r="F15" i="16"/>
  <c r="G15" i="16" s="1"/>
  <c r="F14" i="16"/>
  <c r="G14" i="16" s="1"/>
  <c r="F13" i="16"/>
  <c r="G13" i="16" s="1"/>
  <c r="F12" i="16"/>
  <c r="G12" i="16" s="1"/>
  <c r="D15" i="34"/>
  <c r="Z11" i="16" s="1"/>
  <c r="AA11" i="98" s="1"/>
  <c r="D14" i="34"/>
  <c r="E14" i="34" s="1"/>
  <c r="D13" i="34"/>
  <c r="E13" i="34" s="1"/>
  <c r="I12" i="34"/>
  <c r="H12" i="34"/>
  <c r="AF11" i="16" s="1"/>
  <c r="G12" i="34"/>
  <c r="AE11" i="16" s="1"/>
  <c r="F12" i="34"/>
  <c r="I10" i="34"/>
  <c r="H10" i="34"/>
  <c r="G10" i="34"/>
  <c r="F10" i="34"/>
  <c r="I7" i="34"/>
  <c r="K11" i="16" s="1"/>
  <c r="H7" i="34"/>
  <c r="J11" i="16" s="1"/>
  <c r="G7" i="34"/>
  <c r="I11" i="16" s="1"/>
  <c r="F7" i="34"/>
  <c r="D15" i="33"/>
  <c r="D14" i="33"/>
  <c r="E14" i="33" s="1"/>
  <c r="E13" i="33"/>
  <c r="D13" i="33"/>
  <c r="I12" i="33"/>
  <c r="H12" i="33"/>
  <c r="G12" i="33"/>
  <c r="F12" i="33"/>
  <c r="I10" i="33"/>
  <c r="H10" i="33"/>
  <c r="G10" i="33"/>
  <c r="F10" i="33"/>
  <c r="I7" i="33"/>
  <c r="H7" i="33"/>
  <c r="G7" i="33"/>
  <c r="F7" i="33"/>
  <c r="D15" i="32"/>
  <c r="D14" i="32"/>
  <c r="E14" i="32" s="1"/>
  <c r="E13" i="32"/>
  <c r="D13" i="32"/>
  <c r="I12" i="32"/>
  <c r="AG10" i="24" s="1"/>
  <c r="AH26" i="98" s="1"/>
  <c r="Y33" i="99" s="1"/>
  <c r="AC33" i="99" s="1"/>
  <c r="AQ33" i="99" s="1"/>
  <c r="AW33" i="99" s="1"/>
  <c r="H12" i="32"/>
  <c r="AF10" i="24" s="1"/>
  <c r="AG26" i="98" s="1"/>
  <c r="X33" i="99" s="1"/>
  <c r="AB33" i="99" s="1"/>
  <c r="AP33" i="99" s="1"/>
  <c r="AV33" i="99" s="1"/>
  <c r="G12" i="32"/>
  <c r="AE10" i="24" s="1"/>
  <c r="AF26" i="98" s="1"/>
  <c r="W33" i="99" s="1"/>
  <c r="AA33" i="99" s="1"/>
  <c r="AO33" i="99" s="1"/>
  <c r="AU33" i="99" s="1"/>
  <c r="F12" i="32"/>
  <c r="I10" i="32"/>
  <c r="H10" i="32"/>
  <c r="G10" i="32"/>
  <c r="F10" i="32"/>
  <c r="I7" i="32"/>
  <c r="K10" i="24" s="1"/>
  <c r="H7" i="32"/>
  <c r="J10" i="24" s="1"/>
  <c r="G7" i="32"/>
  <c r="I10" i="24" s="1"/>
  <c r="F7" i="32"/>
  <c r="AW40" i="98" l="1"/>
  <c r="AN40" i="98"/>
  <c r="AB16" i="98"/>
  <c r="Z16" i="16"/>
  <c r="AA16" i="98" s="1"/>
  <c r="AT47" i="99"/>
  <c r="AR47" i="99"/>
  <c r="D12" i="33"/>
  <c r="E12" i="33" s="1"/>
  <c r="AN35" i="99"/>
  <c r="AD35" i="99"/>
  <c r="AB12" i="24"/>
  <c r="AC28" i="98" s="1"/>
  <c r="AE35" i="99" s="1"/>
  <c r="AB28" i="98"/>
  <c r="Z12" i="24"/>
  <c r="AA28" i="98" s="1"/>
  <c r="AD10" i="24"/>
  <c r="AE26" i="98" s="1"/>
  <c r="D12" i="32"/>
  <c r="E12" i="32" s="1"/>
  <c r="AW24" i="98"/>
  <c r="AN16" i="98"/>
  <c r="AW16" i="98"/>
  <c r="AN15" i="98"/>
  <c r="AW15" i="98"/>
  <c r="AB23" i="16"/>
  <c r="AC23" i="98" s="1"/>
  <c r="AB23" i="98"/>
  <c r="AW23" i="98" s="1"/>
  <c r="Z23" i="16"/>
  <c r="AA23" i="98" s="1"/>
  <c r="AN14" i="98"/>
  <c r="AB21" i="16"/>
  <c r="AC21" i="98" s="1"/>
  <c r="Z21" i="16"/>
  <c r="AA21" i="98" s="1"/>
  <c r="AN42" i="98"/>
  <c r="AN33" i="98"/>
  <c r="AB22" i="16"/>
  <c r="AC22" i="98" s="1"/>
  <c r="AB22" i="98"/>
  <c r="Z22" i="16"/>
  <c r="AA22" i="98" s="1"/>
  <c r="Z12" i="16"/>
  <c r="AB12" i="16"/>
  <c r="AC12" i="98" s="1"/>
  <c r="AE19" i="99" s="1"/>
  <c r="AB12" i="98"/>
  <c r="AW12" i="98" s="1"/>
  <c r="AN13" i="98"/>
  <c r="AA24" i="98"/>
  <c r="AA37" i="98"/>
  <c r="AA33" i="98"/>
  <c r="AA13" i="98"/>
  <c r="AB20" i="16"/>
  <c r="AC20" i="98" s="1"/>
  <c r="AB20" i="98"/>
  <c r="AN20" i="98" s="1"/>
  <c r="Z20" i="16"/>
  <c r="AB18" i="16"/>
  <c r="AC18" i="98" s="1"/>
  <c r="AB18" i="98"/>
  <c r="Z18" i="16"/>
  <c r="AB17" i="16"/>
  <c r="AC17" i="98" s="1"/>
  <c r="AB17" i="98"/>
  <c r="Z17" i="16"/>
  <c r="AB19" i="16"/>
  <c r="AC19" i="98" s="1"/>
  <c r="AE26" i="99" s="1"/>
  <c r="AB19" i="98"/>
  <c r="AW19" i="98" s="1"/>
  <c r="Z19" i="16"/>
  <c r="AB11" i="24"/>
  <c r="AC27" i="98" s="1"/>
  <c r="AB27" i="98"/>
  <c r="Z11" i="24"/>
  <c r="G11" i="24"/>
  <c r="H27" i="98" s="1"/>
  <c r="G27" i="98"/>
  <c r="AN37" i="98"/>
  <c r="AB25" i="16"/>
  <c r="AC25" i="98" s="1"/>
  <c r="Z25" i="16"/>
  <c r="H11" i="16"/>
  <c r="H10" i="24"/>
  <c r="AA10" i="25"/>
  <c r="AA10" i="24"/>
  <c r="AD11" i="16"/>
  <c r="Y10" i="25"/>
  <c r="U10" i="25"/>
  <c r="U10" i="24"/>
  <c r="V10" i="24"/>
  <c r="W10" i="24"/>
  <c r="X10" i="24"/>
  <c r="Y10" i="24"/>
  <c r="T10" i="16"/>
  <c r="L10" i="16"/>
  <c r="AG10" i="25"/>
  <c r="T10" i="25"/>
  <c r="S10" i="25"/>
  <c r="R10" i="25"/>
  <c r="Q10" i="25"/>
  <c r="P10" i="25"/>
  <c r="O10" i="25"/>
  <c r="L10" i="25"/>
  <c r="D15" i="31"/>
  <c r="D14" i="31"/>
  <c r="E14" i="31" s="1"/>
  <c r="D13" i="31"/>
  <c r="E13" i="31" s="1"/>
  <c r="I12" i="31"/>
  <c r="H12" i="31"/>
  <c r="G12" i="31"/>
  <c r="F12" i="31"/>
  <c r="I10" i="31"/>
  <c r="H10" i="31"/>
  <c r="G10" i="31"/>
  <c r="F10" i="31"/>
  <c r="I7" i="31"/>
  <c r="H7" i="31"/>
  <c r="G7" i="31"/>
  <c r="F7" i="31"/>
  <c r="E24" i="25"/>
  <c r="E16" i="24"/>
  <c r="AN21" i="98" l="1"/>
  <c r="AE28" i="99"/>
  <c r="BB17" i="99" s="1"/>
  <c r="G4" i="99" s="1"/>
  <c r="AW21" i="98"/>
  <c r="AB10" i="25"/>
  <c r="AC31" i="98" s="1"/>
  <c r="AB31" i="98"/>
  <c r="Z10" i="25"/>
  <c r="AA31" i="98" s="1"/>
  <c r="AN28" i="98"/>
  <c r="AW28" i="98"/>
  <c r="AR35" i="99"/>
  <c r="AT35" i="99"/>
  <c r="AB10" i="24"/>
  <c r="AC26" i="98" s="1"/>
  <c r="AB26" i="98"/>
  <c r="Z10" i="24"/>
  <c r="AA26" i="98" s="1"/>
  <c r="V33" i="99"/>
  <c r="Z33" i="99" s="1"/>
  <c r="AE33" i="99"/>
  <c r="BB18" i="99" s="1"/>
  <c r="G5" i="99" s="1"/>
  <c r="AR26" i="98"/>
  <c r="AQ26" i="98"/>
  <c r="AT26" i="98"/>
  <c r="AS26" i="98"/>
  <c r="AN23" i="98"/>
  <c r="AN19" i="98"/>
  <c r="AN12" i="98"/>
  <c r="AN22" i="98"/>
  <c r="AN17" i="98"/>
  <c r="AA12" i="98"/>
  <c r="AA25" i="98"/>
  <c r="AA20" i="98"/>
  <c r="AA18" i="98"/>
  <c r="AA19" i="98"/>
  <c r="AA27" i="98"/>
  <c r="AA17" i="98"/>
  <c r="AN18" i="98"/>
  <c r="AN27" i="98"/>
  <c r="AO27" i="98"/>
  <c r="H75" i="98"/>
  <c r="AN25" i="98"/>
  <c r="P31" i="22"/>
  <c r="D7" i="31"/>
  <c r="E7" i="31" s="1"/>
  <c r="D12" i="31"/>
  <c r="E12" i="31" s="1"/>
  <c r="AA11" i="16"/>
  <c r="AB11" i="16" s="1"/>
  <c r="H31" i="22"/>
  <c r="F10" i="24"/>
  <c r="G10" i="24" s="1"/>
  <c r="F11" i="16"/>
  <c r="G11" i="16" s="1"/>
  <c r="U10" i="16"/>
  <c r="I10" i="16"/>
  <c r="AD10" i="16"/>
  <c r="P10" i="16"/>
  <c r="R10" i="16"/>
  <c r="AH25" i="98"/>
  <c r="AH20" i="98"/>
  <c r="AG10" i="16"/>
  <c r="AH22" i="98"/>
  <c r="AH19" i="98"/>
  <c r="Y26" i="99" s="1"/>
  <c r="AC26" i="99" s="1"/>
  <c r="AH23" i="98"/>
  <c r="AH21" i="98"/>
  <c r="Y28" i="99" s="1"/>
  <c r="AC28" i="99" s="1"/>
  <c r="AH24" i="98"/>
  <c r="K10" i="16"/>
  <c r="Q10" i="16"/>
  <c r="V10" i="16"/>
  <c r="AE10" i="16"/>
  <c r="AF10" i="16"/>
  <c r="O10" i="16"/>
  <c r="AC17" i="25"/>
  <c r="AD38" i="98" s="1"/>
  <c r="AE10" i="25"/>
  <c r="AF31" i="98" s="1"/>
  <c r="W38" i="99" s="1"/>
  <c r="AA38" i="99" s="1"/>
  <c r="AO38" i="99" s="1"/>
  <c r="AU38" i="99" s="1"/>
  <c r="H10" i="25"/>
  <c r="I10" i="25"/>
  <c r="AD10" i="25"/>
  <c r="AE31" i="98" s="1"/>
  <c r="J10" i="25"/>
  <c r="K10" i="25"/>
  <c r="AF10" i="25"/>
  <c r="AG31" i="98" s="1"/>
  <c r="X38" i="99" s="1"/>
  <c r="AB38" i="99" s="1"/>
  <c r="AP38" i="99" s="1"/>
  <c r="AV38" i="99" s="1"/>
  <c r="X10" i="25"/>
  <c r="V10" i="25"/>
  <c r="W10" i="25"/>
  <c r="J10" i="16"/>
  <c r="H10" i="16"/>
  <c r="W10" i="16"/>
  <c r="X10" i="16"/>
  <c r="Y10" i="16"/>
  <c r="AQ28" i="99" l="1"/>
  <c r="AD28" i="99"/>
  <c r="AQ26" i="99"/>
  <c r="AD26" i="99"/>
  <c r="AE38" i="99"/>
  <c r="BB19" i="99" s="1"/>
  <c r="V38" i="99"/>
  <c r="Z38" i="99" s="1"/>
  <c r="AT31" i="98"/>
  <c r="AR31" i="98"/>
  <c r="AS31" i="98"/>
  <c r="AQ31" i="98"/>
  <c r="AN31" i="98"/>
  <c r="AW31" i="98"/>
  <c r="AN33" i="99"/>
  <c r="AD33" i="99"/>
  <c r="BA18" i="99" s="1"/>
  <c r="AN26" i="98"/>
  <c r="AW26" i="98"/>
  <c r="AQ23" i="98"/>
  <c r="AT23" i="98"/>
  <c r="AR23" i="98"/>
  <c r="AS23" i="98"/>
  <c r="AT20" i="98"/>
  <c r="AQ20" i="98"/>
  <c r="AS20" i="98"/>
  <c r="AR20" i="98"/>
  <c r="AT21" i="98"/>
  <c r="AS21" i="98"/>
  <c r="AR21" i="98"/>
  <c r="AQ21" i="98"/>
  <c r="AQ19" i="98"/>
  <c r="AT19" i="98"/>
  <c r="AS19" i="98"/>
  <c r="AR19" i="98"/>
  <c r="AT25" i="98"/>
  <c r="AS25" i="98"/>
  <c r="AR25" i="98"/>
  <c r="AQ25" i="98"/>
  <c r="AR24" i="98"/>
  <c r="AT24" i="98"/>
  <c r="AS24" i="98"/>
  <c r="AQ24" i="98"/>
  <c r="AS22" i="98"/>
  <c r="AQ22" i="98"/>
  <c r="AR22" i="98"/>
  <c r="AT22" i="98"/>
  <c r="R31" i="22"/>
  <c r="Q31" i="22"/>
  <c r="M31" i="22"/>
  <c r="AA10" i="16"/>
  <c r="C5" i="22"/>
  <c r="O31" i="22"/>
  <c r="N10" i="24"/>
  <c r="AC10" i="24"/>
  <c r="AD26" i="98" s="1"/>
  <c r="K31" i="22"/>
  <c r="N31" i="22"/>
  <c r="G31" i="22"/>
  <c r="I31" i="22"/>
  <c r="L31" i="22"/>
  <c r="J31" i="22"/>
  <c r="F10" i="16"/>
  <c r="G10" i="16" s="1"/>
  <c r="AC14" i="24"/>
  <c r="AD30" i="98" s="1"/>
  <c r="AC11" i="24"/>
  <c r="AD27" i="98" s="1"/>
  <c r="AC12" i="24"/>
  <c r="AD28" i="98" s="1"/>
  <c r="AC11" i="25"/>
  <c r="AD32" i="98" s="1"/>
  <c r="AC10" i="25"/>
  <c r="AD31" i="98" s="1"/>
  <c r="AC25" i="16"/>
  <c r="AD25" i="98" s="1"/>
  <c r="AC15" i="25"/>
  <c r="AD36" i="98" s="1"/>
  <c r="F10" i="25"/>
  <c r="G10" i="25" s="1"/>
  <c r="AC22" i="25"/>
  <c r="AD43" i="98" s="1"/>
  <c r="N11" i="24"/>
  <c r="O27" i="98" s="1"/>
  <c r="AC21" i="16"/>
  <c r="AD21" i="98" s="1"/>
  <c r="AC17" i="16"/>
  <c r="AD17" i="98" s="1"/>
  <c r="M24" i="25"/>
  <c r="I5" i="22" s="1"/>
  <c r="M16" i="24"/>
  <c r="H5" i="22" s="1"/>
  <c r="BA17" i="99" l="1"/>
  <c r="AW28" i="99"/>
  <c r="AR28" i="99"/>
  <c r="AW26" i="99"/>
  <c r="AR26" i="99"/>
  <c r="BB23" i="99"/>
  <c r="G6" i="99"/>
  <c r="G10" i="99" s="1"/>
  <c r="AN76" i="98"/>
  <c r="AN38" i="99"/>
  <c r="AD38" i="99"/>
  <c r="BA19" i="99" s="1"/>
  <c r="AT33" i="99"/>
  <c r="AR33" i="99"/>
  <c r="E5" i="99" s="1"/>
  <c r="AB10" i="16"/>
  <c r="AC10" i="98" s="1"/>
  <c r="AC75" i="98" s="1"/>
  <c r="AD75" i="98" s="1"/>
  <c r="AB10" i="98"/>
  <c r="Z10" i="16"/>
  <c r="N11" i="16"/>
  <c r="O11" i="98" s="1"/>
  <c r="N16" i="16"/>
  <c r="O16" i="98" s="1"/>
  <c r="AC20" i="16"/>
  <c r="AD20" i="98" s="1"/>
  <c r="N23" i="16"/>
  <c r="O23" i="98" s="1"/>
  <c r="AC24" i="16"/>
  <c r="AD24" i="98" s="1"/>
  <c r="AC16" i="16"/>
  <c r="AD16" i="98" s="1"/>
  <c r="AC15" i="16"/>
  <c r="AD15" i="98" s="1"/>
  <c r="N12" i="16"/>
  <c r="O12" i="98" s="1"/>
  <c r="AC18" i="16"/>
  <c r="AD18" i="98" s="1"/>
  <c r="AC23" i="16"/>
  <c r="AD23" i="98" s="1"/>
  <c r="AC13" i="16"/>
  <c r="AD13" i="98" s="1"/>
  <c r="AC19" i="16"/>
  <c r="AD19" i="98" s="1"/>
  <c r="AC12" i="16"/>
  <c r="AD12" i="98" s="1"/>
  <c r="AC14" i="16"/>
  <c r="AD14" i="98" s="1"/>
  <c r="AC22" i="16"/>
  <c r="AD22" i="98" s="1"/>
  <c r="AC11" i="16"/>
  <c r="AD11" i="98" s="1"/>
  <c r="AC13" i="25"/>
  <c r="AD34" i="98" s="1"/>
  <c r="AC19" i="25"/>
  <c r="AD40" i="98" s="1"/>
  <c r="AC16" i="25"/>
  <c r="AD37" i="98" s="1"/>
  <c r="AC21" i="25"/>
  <c r="AD42" i="98" s="1"/>
  <c r="AB24" i="25"/>
  <c r="AC24" i="25" s="1"/>
  <c r="AC12" i="25"/>
  <c r="AD33" i="98" s="1"/>
  <c r="AC18" i="25"/>
  <c r="AD39" i="98" s="1"/>
  <c r="AC20" i="25"/>
  <c r="AD41" i="98" s="1"/>
  <c r="AC14" i="25"/>
  <c r="AD35" i="98" s="1"/>
  <c r="N12" i="24"/>
  <c r="O28" i="98" s="1"/>
  <c r="AC13" i="24"/>
  <c r="AD29" i="98" s="1"/>
  <c r="AB16" i="24"/>
  <c r="AC16" i="24" s="1"/>
  <c r="N14" i="24"/>
  <c r="O30" i="98" s="1"/>
  <c r="N13" i="24"/>
  <c r="O29" i="98" s="1"/>
  <c r="G16" i="24"/>
  <c r="H4" i="22" s="1"/>
  <c r="N15" i="16"/>
  <c r="O15" i="98" s="1"/>
  <c r="N17" i="16"/>
  <c r="O17" i="98" s="1"/>
  <c r="N20" i="16"/>
  <c r="O20" i="98" s="1"/>
  <c r="N24" i="16"/>
  <c r="O24" i="98" s="1"/>
  <c r="N14" i="16"/>
  <c r="O14" i="98" s="1"/>
  <c r="N10" i="16"/>
  <c r="N18" i="16"/>
  <c r="O18" i="98" s="1"/>
  <c r="N25" i="16"/>
  <c r="O25" i="98" s="1"/>
  <c r="N13" i="16"/>
  <c r="O13" i="98" s="1"/>
  <c r="E4" i="99" l="1"/>
  <c r="BA23" i="99"/>
  <c r="AT38" i="99"/>
  <c r="AR38" i="99"/>
  <c r="E6" i="99" s="1"/>
  <c r="AA10" i="98"/>
  <c r="AC10" i="16"/>
  <c r="AN10" i="98"/>
  <c r="G2" i="98" s="1"/>
  <c r="Q30" i="22"/>
  <c r="P30" i="22"/>
  <c r="L30" i="22"/>
  <c r="J30" i="22"/>
  <c r="N30" i="22"/>
  <c r="P3" i="22"/>
  <c r="N16" i="24"/>
  <c r="N19" i="16"/>
  <c r="O19" i="98" s="1"/>
  <c r="N22" i="16"/>
  <c r="O22" i="98" s="1"/>
  <c r="N21" i="16"/>
  <c r="O21" i="98" s="1"/>
  <c r="N12" i="25"/>
  <c r="O33" i="98" s="1"/>
  <c r="N18" i="25"/>
  <c r="O39" i="98" s="1"/>
  <c r="N15" i="25"/>
  <c r="O36" i="98" s="1"/>
  <c r="N11" i="25"/>
  <c r="O32" i="98" s="1"/>
  <c r="N13" i="25"/>
  <c r="O34" i="98" s="1"/>
  <c r="N17" i="25"/>
  <c r="O38" i="98" s="1"/>
  <c r="N22" i="25"/>
  <c r="O43" i="98" s="1"/>
  <c r="N21" i="25"/>
  <c r="O42" i="98" s="1"/>
  <c r="N14" i="25"/>
  <c r="O35" i="98" s="1"/>
  <c r="N10" i="25"/>
  <c r="G24" i="25"/>
  <c r="N20" i="25"/>
  <c r="O41" i="98" s="1"/>
  <c r="N16" i="25"/>
  <c r="O37" i="98" s="1"/>
  <c r="N19" i="25"/>
  <c r="O40" i="98" s="1"/>
  <c r="E27" i="16"/>
  <c r="E10" i="99" l="1"/>
  <c r="O30" i="22"/>
  <c r="G30" i="22"/>
  <c r="R30" i="22"/>
  <c r="I30" i="22"/>
  <c r="M30" i="22"/>
  <c r="N24" i="25"/>
  <c r="I4" i="22"/>
  <c r="Q3" i="22" s="1"/>
  <c r="K30" i="22"/>
  <c r="H30" i="22"/>
  <c r="G27" i="16"/>
  <c r="G4" i="22" s="1"/>
  <c r="M27" i="16"/>
  <c r="G5" i="22" s="1"/>
  <c r="AB27" i="16"/>
  <c r="C4" i="22" l="1"/>
  <c r="N27" i="16"/>
  <c r="AC27" i="16"/>
  <c r="O3"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Jeaninne Santos</author>
  </authors>
  <commentList>
    <comment ref="T13" authorId="0" shapeId="0" xr:uid="{284B2E92-6D34-4A5E-A658-8DBECB85E810}">
      <text>
        <r>
          <rPr>
            <sz val="11"/>
            <color indexed="81"/>
            <rFont val="Century Gothic"/>
            <family val="2"/>
          </rPr>
          <t>Describa comentarios relevantes para el mes: justificativas, nuevos materiales, validaciones,etc.</t>
        </r>
      </text>
    </comment>
    <comment ref="G24" authorId="0" shapeId="0" xr:uid="{93A5F632-8AFF-440C-89AE-DAD4E1DF83CE}">
      <text>
        <r>
          <rPr>
            <sz val="11"/>
            <color indexed="81"/>
            <rFont val="Segoe UI"/>
            <family val="2"/>
          </rPr>
          <t>Señalize el status de validación: 1 - No Validado, 2 - Pendiente, 3 - Validado</t>
        </r>
      </text>
    </comment>
    <comment ref="G26" authorId="0" shapeId="0" xr:uid="{5DB45BFE-6AF5-4B85-A480-020EEC72C7F3}">
      <text>
        <r>
          <rPr>
            <sz val="11"/>
            <color indexed="81"/>
            <rFont val="Century Gothic"/>
            <family val="2"/>
          </rPr>
          <t>Aquí se encuentran los comentarios a respeto del proceso del bottler de manera más detallada.</t>
        </r>
      </text>
    </comment>
    <comment ref="G27" authorId="0" shapeId="0" xr:uid="{19818B48-61A8-4959-A83F-71ADC32BB57C}">
      <text>
        <r>
          <rPr>
            <sz val="11"/>
            <color indexed="81"/>
            <rFont val="Century Gothic"/>
            <family val="2"/>
          </rPr>
          <t>Aquí es donde ponemos los materiales enseñados por el bottler y ejemplos relevantes.</t>
        </r>
      </text>
    </comment>
  </commentList>
</comments>
</file>

<file path=xl/sharedStrings.xml><?xml version="1.0" encoding="utf-8"?>
<sst xmlns="http://schemas.openxmlformats.org/spreadsheetml/2006/main" count="7273" uniqueCount="1214">
  <si>
    <t>DIAGNÓSTICO</t>
  </si>
  <si>
    <t xml:space="preserve"> E2E COOLERS</t>
  </si>
  <si>
    <t>MENU</t>
  </si>
  <si>
    <t>Fabricante:</t>
  </si>
  <si>
    <t>ANDINA BRASIL</t>
  </si>
  <si>
    <t>PÁGINAS</t>
  </si>
  <si>
    <t>MÓDULOS</t>
  </si>
  <si>
    <t>ANALISIS ITEMS</t>
  </si>
  <si>
    <t>Teia de Aranha</t>
  </si>
  <si>
    <t>Oportunidades</t>
  </si>
  <si>
    <t>Total</t>
  </si>
  <si>
    <t>Estratégia</t>
  </si>
  <si>
    <t>Adquisición</t>
  </si>
  <si>
    <t>Control</t>
  </si>
  <si>
    <t>Mercado</t>
  </si>
  <si>
    <t>Mantenimiento</t>
  </si>
  <si>
    <t>Descarte</t>
  </si>
  <si>
    <t>ESTRATÉGIA</t>
  </si>
  <si>
    <t>ADQUISICIÓN</t>
  </si>
  <si>
    <t>CONTROL</t>
  </si>
  <si>
    <t>MERCADO</t>
  </si>
  <si>
    <t>MANTENIMIENTO</t>
  </si>
  <si>
    <t>DESCARTE</t>
  </si>
  <si>
    <t>vs FUTURO</t>
  </si>
  <si>
    <t>Status Actual</t>
  </si>
  <si>
    <t>STATUS ACTUAL</t>
  </si>
  <si>
    <t>Plano Futuro</t>
  </si>
  <si>
    <t>Plano FUTURO</t>
  </si>
  <si>
    <t>E2E</t>
  </si>
  <si>
    <t>Prevención de Pérdida</t>
  </si>
  <si>
    <t>Mejora Contínua</t>
  </si>
  <si>
    <t>Definiciones Estrategicas</t>
  </si>
  <si>
    <t>Eficiencia Operativa</t>
  </si>
  <si>
    <t>Planificación Financiera</t>
  </si>
  <si>
    <t>Gestión de pérdida</t>
  </si>
  <si>
    <t>Proveedores</t>
  </si>
  <si>
    <t>Conectividad</t>
  </si>
  <si>
    <t>Sustentabilidad</t>
  </si>
  <si>
    <t>Control del Stock</t>
  </si>
  <si>
    <t>Política organizacional</t>
  </si>
  <si>
    <t>SLA y Analisis Operativas</t>
  </si>
  <si>
    <t>Herramientas de Instalación</t>
  </si>
  <si>
    <t>Maximización de Ventas</t>
  </si>
  <si>
    <t>Status suporte</t>
  </si>
  <si>
    <t>RESUMEN ITEMS</t>
  </si>
  <si>
    <t>Definição Item</t>
  </si>
  <si>
    <t>Diagnóstico Inicial</t>
  </si>
  <si>
    <t>Status Suporte</t>
  </si>
  <si>
    <t>Benchmarking</t>
  </si>
  <si>
    <t>Módulo</t>
  </si>
  <si>
    <t>Sub
grupo</t>
  </si>
  <si>
    <t>#</t>
  </si>
  <si>
    <t>Processo</t>
  </si>
  <si>
    <t>Peso</t>
  </si>
  <si>
    <t>Pontuação Inicial</t>
  </si>
  <si>
    <r>
      <t xml:space="preserve">Score </t>
    </r>
    <r>
      <rPr>
        <sz val="12"/>
        <color theme="0"/>
        <rFont val="Century Gothic"/>
        <family val="2"/>
      </rPr>
      <t>Inicial</t>
    </r>
  </si>
  <si>
    <t>P</t>
  </si>
  <si>
    <t>C</t>
  </si>
  <si>
    <t>MC</t>
  </si>
  <si>
    <t>MP</t>
  </si>
  <si>
    <t>Pontuação Futuro</t>
  </si>
  <si>
    <r>
      <t xml:space="preserve">Score </t>
    </r>
    <r>
      <rPr>
        <sz val="12"/>
        <color theme="0"/>
        <rFont val="Century Gothic"/>
        <family val="2"/>
      </rPr>
      <t>Futuro</t>
    </r>
  </si>
  <si>
    <r>
      <t xml:space="preserve">Gap </t>
    </r>
    <r>
      <rPr>
        <sz val="12"/>
        <color theme="0"/>
        <rFont val="Century Gothic"/>
        <family val="2"/>
      </rPr>
      <t>Futuro</t>
    </r>
  </si>
  <si>
    <t>Quick Win</t>
  </si>
  <si>
    <t>Prioridade</t>
  </si>
  <si>
    <t>Jun</t>
  </si>
  <si>
    <t>Jul</t>
  </si>
  <si>
    <t>Ago</t>
  </si>
  <si>
    <t>Sep</t>
  </si>
  <si>
    <t>Oct</t>
  </si>
  <si>
    <t>Status</t>
  </si>
  <si>
    <t>Pontuação Suporte</t>
  </si>
  <si>
    <t>Score Suporte</t>
  </si>
  <si>
    <t>Gap Suporte</t>
  </si>
  <si>
    <t>Subgrupo</t>
  </si>
  <si>
    <t>Score Inicial</t>
  </si>
  <si>
    <t>Score Futuro</t>
  </si>
  <si>
    <t>Gap Futuro</t>
  </si>
  <si>
    <t>Definições Estratégicas</t>
  </si>
  <si>
    <t>1.</t>
  </si>
  <si>
    <t>Missão e visão</t>
  </si>
  <si>
    <t>2.</t>
  </si>
  <si>
    <t>Catálogo de equipamentos</t>
  </si>
  <si>
    <t>3.</t>
  </si>
  <si>
    <t>Fotografía de sucesso</t>
  </si>
  <si>
    <t>4.</t>
  </si>
  <si>
    <t>Planograma</t>
  </si>
  <si>
    <t>Planejamento financeiro</t>
  </si>
  <si>
    <t>5.</t>
  </si>
  <si>
    <t>Planejamento para o full potential</t>
  </si>
  <si>
    <t>6.</t>
  </si>
  <si>
    <t>Gestão P&amp;L da Área de EDF</t>
  </si>
  <si>
    <t>Melhora contínua</t>
  </si>
  <si>
    <t>7.</t>
  </si>
  <si>
    <t>Visita ao mercado</t>
  </si>
  <si>
    <t>8.</t>
  </si>
  <si>
    <t>Rotinas de inovação</t>
  </si>
  <si>
    <t>9.</t>
  </si>
  <si>
    <t>Satisfação do cliente</t>
  </si>
  <si>
    <t>Fornecedores</t>
  </si>
  <si>
    <t>10.</t>
  </si>
  <si>
    <t>Programa SRM</t>
  </si>
  <si>
    <t>Conectividade</t>
  </si>
  <si>
    <t>11.</t>
  </si>
  <si>
    <t>Estratégia de conectividade</t>
  </si>
  <si>
    <t>Sustentabilidade</t>
  </si>
  <si>
    <t>12.</t>
  </si>
  <si>
    <t>Estratégia de sustentabilidade</t>
  </si>
  <si>
    <t>13.</t>
  </si>
  <si>
    <t>Certificação E2E</t>
  </si>
  <si>
    <t>14.</t>
  </si>
  <si>
    <t>Compromisso com o Programa E2E</t>
  </si>
  <si>
    <t>15.</t>
  </si>
  <si>
    <t>Savings do Programa E2E</t>
  </si>
  <si>
    <t>16.</t>
  </si>
  <si>
    <t>Business review da Área de EDF</t>
  </si>
  <si>
    <t>Aquisição</t>
  </si>
  <si>
    <t>Plano de investimento</t>
  </si>
  <si>
    <t>Controle de estoque</t>
  </si>
  <si>
    <t>Gestão de chegadas e estoque de equipamentos</t>
  </si>
  <si>
    <t>SLA dos fornecedores</t>
  </si>
  <si>
    <t>TCO</t>
  </si>
  <si>
    <t>Colaboração com o CEPG</t>
  </si>
  <si>
    <t>Controle</t>
  </si>
  <si>
    <t>Eficiência Operacional</t>
  </si>
  <si>
    <t>Controle de movimentos e estoque de EDF</t>
  </si>
  <si>
    <t>Política de armazenamento</t>
  </si>
  <si>
    <t>Programa de qualidade</t>
  </si>
  <si>
    <t>Transporte de equipamentos</t>
  </si>
  <si>
    <t>Control de Stock</t>
  </si>
  <si>
    <t>Otimização de equipamentos no estoque</t>
  </si>
  <si>
    <t>Prevenção de perdas</t>
  </si>
  <si>
    <t>Prevenção de movimentos irregulares</t>
  </si>
  <si>
    <t>Reforço dos termos contratuais acordados</t>
  </si>
  <si>
    <t>Monitoramento de equipamentos com vendas zero</t>
  </si>
  <si>
    <t>Validação de equipamentos no mercado</t>
  </si>
  <si>
    <t>Gestão de perdas</t>
  </si>
  <si>
    <t>Censo de equipamentos</t>
  </si>
  <si>
    <t>Gestão de recuperação legal</t>
  </si>
  <si>
    <t>Conectividade para o controle</t>
  </si>
  <si>
    <t>Política de controle de equipamentos</t>
  </si>
  <si>
    <t>Processamento de pedidos de instalação e recolhimento</t>
  </si>
  <si>
    <t>Qualidade do serviço de instalação</t>
  </si>
  <si>
    <t>Otimização do recolhimento</t>
  </si>
  <si>
    <t>SLA e Análise Operativas</t>
  </si>
  <si>
    <t>Tracking de SLA de instalación</t>
  </si>
  <si>
    <t>Tracking de SLA de retiro</t>
  </si>
  <si>
    <t>Análise dos motivos do movimento</t>
  </si>
  <si>
    <t>Ferramentas de instalação</t>
  </si>
  <si>
    <t>Gestão da lista foco</t>
  </si>
  <si>
    <t>Metas de instalação (novos e usados)</t>
  </si>
  <si>
    <t>Negociação de equipamentos</t>
  </si>
  <si>
    <t>Maximização de vendas</t>
  </si>
  <si>
    <t>Atratividade</t>
  </si>
  <si>
    <t>Inteligência de mercado</t>
  </si>
  <si>
    <t>Gestão de equipamentos do cliente</t>
  </si>
  <si>
    <t>Política de inversão de Stills</t>
  </si>
  <si>
    <t>Conectividade para o mercado</t>
  </si>
  <si>
    <t>Sustentabilidade no mercado</t>
  </si>
  <si>
    <t>Manutenção</t>
  </si>
  <si>
    <t>Processamento do pedido de manutenção</t>
  </si>
  <si>
    <t>Solução remota</t>
  </si>
  <si>
    <t>Qualidade dos serviços no PDV</t>
  </si>
  <si>
    <t>Qualidade dos serviços na oficina</t>
  </si>
  <si>
    <t>SLA e Análisis Operativas</t>
  </si>
  <si>
    <t>Tracking do SLA de manutenção</t>
  </si>
  <si>
    <t>Análise de motivos de manutenção</t>
  </si>
  <si>
    <t>Melhora Contínua</t>
  </si>
  <si>
    <t>Produtividade e capacitação dos técnicos</t>
  </si>
  <si>
    <t>Mantenimiento de Stock</t>
  </si>
  <si>
    <t>Controle de peças de reposição</t>
  </si>
  <si>
    <t>Gerenciamento de garantia de fornecedores</t>
  </si>
  <si>
    <t>Conectividade para Manutenção</t>
  </si>
  <si>
    <t>Eficiencia Operacional</t>
  </si>
  <si>
    <t>Procedimentos para minimizar o descarte</t>
  </si>
  <si>
    <t>Aprovação e segregação do descarte</t>
  </si>
  <si>
    <t>SLA e Análise Operativa</t>
  </si>
  <si>
    <t>Análise do descarte</t>
  </si>
  <si>
    <t>Sustentabilidade para descarte</t>
  </si>
  <si>
    <t>Política Organizacional</t>
  </si>
  <si>
    <t>Política de descarte de equipamentos</t>
  </si>
  <si>
    <t>INSTRUÇÕES</t>
  </si>
  <si>
    <t>Menu</t>
  </si>
  <si>
    <t>Aqui você pode ver todos os módulos e páginas do documento, bem como um resumo do objetivo deste material.</t>
  </si>
  <si>
    <t>Botões</t>
  </si>
  <si>
    <t>Selecione a página para a qual deseja ir clicando em um dos botões do Menu</t>
  </si>
  <si>
    <t>Fabricante</t>
  </si>
  <si>
    <t>Indica qual é o fabricante que se refere ao arquivo</t>
  </si>
  <si>
    <t>Menu Módulos</t>
  </si>
  <si>
    <t>Acesse o item</t>
  </si>
  <si>
    <t>Para acessar a página do item, clique no número (#) ou no nome do Processo.</t>
  </si>
  <si>
    <t>Ocultar e exibir colunas</t>
  </si>
  <si>
    <t>Se você quiser ver apenas as pontuações de cada estágio E2E, clique no (-) acima dos títulos para ocultar as colunas extras. Se você quiser reexibi-los, clique no (+)</t>
  </si>
  <si>
    <t>Pontuação</t>
  </si>
  <si>
    <t>A pontuação de acordo com a validação do item para cada uma das etapas do E2E.</t>
  </si>
  <si>
    <t>Score</t>
  </si>
  <si>
    <t>É o valor ganho com a Pontuação alcançada de acordo com o peso do item</t>
  </si>
  <si>
    <t>Aqui você encontra um resumo de todos os itens do módulo com suas respectivas pontuações e dados principais. A partir daqui você pode acessar o item que deseja.</t>
  </si>
  <si>
    <t>P C MC MP</t>
  </si>
  <si>
    <t>Resumo das validações de cada item, Validado, Não validado ou Pendente que corresponde a cada tipo de Pontuação Parcial (P), Cumpre (C), Mais que cumpre (MC), Melhor Prática (MP).</t>
  </si>
  <si>
    <t>GAP Futuro</t>
  </si>
  <si>
    <t>Demonstra o quanto a pontuação do item pode aumentar no futuro em relação ao Diagnóstico Inicial</t>
  </si>
  <si>
    <t>GAP Suporte</t>
  </si>
  <si>
    <t>Mostre o quanto você precisa alcançar na Call de Suporte em relação à pontuação que foi planejada</t>
  </si>
  <si>
    <t>Indica se aquele Processo custa muito pouco, mais ou menos ou muito esforço para avançar na Pontuação</t>
  </si>
  <si>
    <t>Indica quais itens possuem prioridade alta ou baixa ou se não possuem planejamento</t>
  </si>
  <si>
    <t>Meses</t>
  </si>
  <si>
    <t>Demonstra o planejamento de tempo para avançar nesse Processo.</t>
  </si>
  <si>
    <t>Indica como o progresso está progredindo no Processo ao longo do período de Suporte</t>
  </si>
  <si>
    <t>Item</t>
  </si>
  <si>
    <t>Notas explicativas sobre o exemplo</t>
  </si>
  <si>
    <t>A guia Item de exemplo tem notas sobre todos os campos editáveis ​​com explicações.</t>
  </si>
  <si>
    <t>Campos editáveis</t>
  </si>
  <si>
    <t>O Hub deve preencher todos os campos em Negrito</t>
  </si>
  <si>
    <t>É onde está tudo o que corresponde aos Processos E2E. É aqui que o Hub vai encher de materiais do fabricante, Exemplos, validações, fazer planejamento e ter uma visão mais detalhada do Processo.</t>
  </si>
  <si>
    <t>Tamanho da coluna</t>
  </si>
  <si>
    <t>Nunca se deve aumentar o comprimento da coluna, se necessário é possível aumentar a altura da linha (em descrições como Contexto, Comentários e Sugestão, há sempre uma segunda linha que pode ser aumentada.</t>
  </si>
  <si>
    <t>Se necessário, para obter mais espaço, você pode ocultar as colunas de resumo, comentários e itens clicando no (-) acima dos títulos. Para reexibir clique em (+)</t>
  </si>
  <si>
    <t>Veja o exemplo completo</t>
  </si>
  <si>
    <r>
      <t xml:space="preserve">#1: </t>
    </r>
    <r>
      <rPr>
        <b/>
        <sz val="36"/>
        <color theme="1" tint="0.14999847407452621"/>
        <rFont val="Century Gothic"/>
        <family val="2"/>
      </rPr>
      <t>MISSÃO E VISÃO</t>
    </r>
  </si>
  <si>
    <t>Resumen</t>
  </si>
  <si>
    <t>comentários e Detalhes</t>
  </si>
  <si>
    <t>Legenda</t>
  </si>
  <si>
    <t>DIAGNÓSTICO INICIAL</t>
  </si>
  <si>
    <t>•    Validado
•    Pendente
•    Não validado</t>
  </si>
  <si>
    <t>Contexto:</t>
  </si>
  <si>
    <t>Sajdopakdpakfpkalfajpfkplamflmal</t>
  </si>
  <si>
    <t>Sugerencia:</t>
  </si>
  <si>
    <t>Plano 
FUTURO</t>
  </si>
  <si>
    <t>Mais que cumpre</t>
  </si>
  <si>
    <t>D:  Dinâmico
- : Não Dinâmico</t>
  </si>
  <si>
    <t>Quick Win:</t>
  </si>
  <si>
    <t>Prioridade:</t>
  </si>
  <si>
    <t>Mes inicio:</t>
  </si>
  <si>
    <t>Agosto</t>
  </si>
  <si>
    <t>Prazo de entrega:</t>
  </si>
  <si>
    <t>Setembro</t>
  </si>
  <si>
    <t>Responsável (opcional):</t>
  </si>
  <si>
    <t>Juan Manuel</t>
  </si>
  <si>
    <t>STATUS 
Suporte</t>
  </si>
  <si>
    <t>Status Mes</t>
  </si>
  <si>
    <t>Outubro</t>
  </si>
  <si>
    <t>Comentarios</t>
  </si>
  <si>
    <t>Pontuação Estimada</t>
  </si>
  <si>
    <t>No Iniciado</t>
  </si>
  <si>
    <t>Estavam tentando implmentar</t>
  </si>
  <si>
    <t>Parcial</t>
  </si>
  <si>
    <t>En Progreso</t>
  </si>
  <si>
    <t>Cumpre</t>
  </si>
  <si>
    <t>Finalizado</t>
  </si>
  <si>
    <t>X</t>
  </si>
  <si>
    <t>Melhor Prática</t>
  </si>
  <si>
    <t>Definição ITEM</t>
  </si>
  <si>
    <t>Existe uma missão e visão da Área de EDF com ênfase comercial, comunicada continuamente em mais de uma ferramenta impactante (ex.: pinturas, fotos, assinatura de e-mail, papel de parede, etc.), valorizando no mínimo geração de resultados, relacionamento com o cliente e eficiência.</t>
  </si>
  <si>
    <t>Entendimento da missão e visão por um membro da Área de EDF (próprio e de terceiros).</t>
  </si>
  <si>
    <t>Compreensão da missão e visão por um membro da Área de Vendas (diretos e indiretos).</t>
  </si>
  <si>
    <t>Existe uma rotina que garante que o cliente seja constantemente comunicado sobre a proposta de valor (ex: slogan) com base na missão e visão.</t>
  </si>
  <si>
    <t>Definição</t>
  </si>
  <si>
    <t>Garantir uma missão e visão com ênfase comercial sendo compartilhada e praticada, com o objetivo de divulgar os valores e a importância da Área de EDF.</t>
  </si>
  <si>
    <t>-</t>
  </si>
  <si>
    <t>D</t>
  </si>
  <si>
    <t>Material aplicado e ferramentas de comunicação</t>
  </si>
  <si>
    <t>Entrevista com um membro da equipe</t>
  </si>
  <si>
    <t>Ferramentas de comunicação para o cliente</t>
  </si>
  <si>
    <t>Suporte</t>
  </si>
  <si>
    <t>Exemplo</t>
  </si>
  <si>
    <t xml:space="preserve">MATERIAIS E EXEMPLOS </t>
  </si>
  <si>
    <t>HDHDHDHDHD</t>
  </si>
  <si>
    <t>SAPFKAPKFPKAkkfkaprkrianndfknaqlnfkammlcnanfkcnanfjaofnknflnalfnlanfknakfnkanfknkanfnakfnklanfknafknakfnnakfnkanfknafkanfkanfkakfnkanfknakfnkfnakfnkanfkanfkafknkafnkafnkanfknanfk</t>
  </si>
  <si>
    <t>Materiales</t>
  </si>
  <si>
    <t>;</t>
  </si>
  <si>
    <t>AQUISIÇÃO</t>
  </si>
  <si>
    <t>CONTROLE</t>
  </si>
  <si>
    <t>MANUTENÇÃO</t>
  </si>
  <si>
    <t>Mais que Cumpre</t>
  </si>
  <si>
    <t>Mejor Práctica</t>
  </si>
  <si>
    <t>Missão e Visão comunicada em reuniões e em murais.</t>
  </si>
  <si>
    <t>Realizaram treinamento sobre o tema com lista de presença.</t>
  </si>
  <si>
    <t>Verificado em rota junto com o time de geladeiras o entendimento da missão e visão</t>
  </si>
  <si>
    <t>Ver entrevista</t>
  </si>
  <si>
    <t>Verificado em rota junto com o time de vendas o entendimento da missão e visão</t>
  </si>
  <si>
    <t>Ditribuem um folder com os principais reforços da issão e visão para os clientes no ato da instalação.</t>
  </si>
  <si>
    <r>
      <t xml:space="preserve">#2: </t>
    </r>
    <r>
      <rPr>
        <b/>
        <sz val="36"/>
        <color theme="1" tint="0.14999847407452621"/>
        <rFont val="Century Gothic"/>
        <family val="2"/>
      </rPr>
      <t>CATÁLOGO DE EQUIPAMENTOS</t>
    </r>
  </si>
  <si>
    <t>Possuem um catáligo disponibilizado no app do técnico e no QR Code da geladeira, além disso há catálogo impresso.</t>
  </si>
  <si>
    <t>Oportunidade em disponibilizar no SF Coke dos vendedores</t>
  </si>
  <si>
    <t>No Planificado</t>
  </si>
  <si>
    <t>Julio</t>
  </si>
  <si>
    <t>Existe um catálogo único com todos os modelos de equipamentos operados pelo Fabricante, que está disponível para as Áreas de EDF (própria e de terceiros) e Vendas (diretas e indiretas).</t>
  </si>
  <si>
    <t>O material inclui pelo menos 4 variáveis ​​entre: marca, fornecedor, dimensões, capacidade, consumo de energia e temperatura ambiente adequada para cada modelo.</t>
  </si>
  <si>
    <t>O material é digitalizado para ser consultado durante a rota.</t>
  </si>
  <si>
    <t>Há uma segmentação de modelos de equipamentos por canal ou ocasião de consumo no catálogo.</t>
  </si>
  <si>
    <t>Ter um catálogo único e disponível com todos os equipamentos operados pelo Fabricante.</t>
  </si>
  <si>
    <t>Material aplicado e ferramentas de acesso ao material</t>
  </si>
  <si>
    <t>Material aplicado</t>
  </si>
  <si>
    <t>Ferramentas de acesso a materiais</t>
  </si>
  <si>
    <t xml:space="preserve">Pelo app conseguem ver todos os modelos. Possuem um catálogo que foi disponibilizado para todo time de vendas. Consta no QR code das geladeiras. </t>
  </si>
  <si>
    <t>Os Vendedores Possuem catálogo impresso e pelo app.Possuem tudo no catálogo</t>
  </si>
  <si>
    <t>Sera verificado na rota de Bangu, mas tem tudo pelo app.</t>
  </si>
  <si>
    <t>Para canal tem um orientação no próprio catálogo.</t>
  </si>
  <si>
    <r>
      <t xml:space="preserve">#3: </t>
    </r>
    <r>
      <rPr>
        <b/>
        <sz val="36"/>
        <color theme="1" tint="0.14999847407452621"/>
        <rFont val="Century Gothic"/>
        <family val="2"/>
      </rPr>
      <t xml:space="preserve">FOTOGRAFÍA DE SUCESSO </t>
    </r>
  </si>
  <si>
    <t>Possuem uma FDS com foco em execução do planograma, orientação de abastecimento para os canais</t>
  </si>
  <si>
    <t>Adicionar informações do tamanho do cliente e quantidade de geladeiras de acordo com recomendação de breakeven.</t>
  </si>
  <si>
    <t>Alta</t>
  </si>
  <si>
    <t>Octubre</t>
  </si>
  <si>
    <t>Belluzzo</t>
  </si>
  <si>
    <t>Cumple</t>
  </si>
  <si>
    <t>x</t>
  </si>
  <si>
    <t>Existe uma FDS vigente validado pela Área de Trade-Marketing, que está disponível para as Áreas de EDF (próprias e de terceiros) e Vendas (diretas e indiretas).</t>
  </si>
  <si>
    <t>Existe um documento único da FDS segmentada por canal e tamanho de cliente que inclui em cada caso: número de portas, 1ª posição e planograma.</t>
  </si>
  <si>
    <t>O material é digitalizado para ser consultado na rota.</t>
  </si>
  <si>
    <t>Há um tracking trimestral da execução da FDS baseada no número de portas por canal e tamanho do cliente, comparando o planejado vs realizado.</t>
  </si>
  <si>
    <t>Garantir a existência de um padrão de execução de EDF no mercado, sendo compartilhado e praticado por meio de um guia único.</t>
  </si>
  <si>
    <t>Rotinas de revisão, lista de participantes, material aplicado e ferramenta de acesso ao material</t>
  </si>
  <si>
    <t>Relatório trimestral</t>
  </si>
  <si>
    <t xml:space="preserve">Parcial- Ver fotografia com time de vendas. </t>
  </si>
  <si>
    <t xml:space="preserve">Existe um documento no qual orienta primeira posição e há tambem numero de porta. Tambem há orientação de  como a geladeira deve estar posicionada, questão de invasão, abastecmento e plonograma. </t>
  </si>
  <si>
    <t>Checar se a FDS pode ser considerada.</t>
  </si>
  <si>
    <t>Ainda estão buscando todos os indicadores trimestrais.</t>
  </si>
  <si>
    <r>
      <t xml:space="preserve">#4: </t>
    </r>
    <r>
      <rPr>
        <b/>
        <sz val="36"/>
        <color theme="1" tint="0.14999847407452621"/>
        <rFont val="Century Gothic"/>
        <family val="2"/>
      </rPr>
      <t xml:space="preserve">PLANOGRAMA </t>
    </r>
  </si>
  <si>
    <t>Os times de geladeiras e de vendas têm acesso a um app que permite visualizar o planograma para cada canal. Pelo acompanhanneto diário do iRED é possível verificar as métricas relacionadas a GDM. O QR code permite acesso ao planograma.</t>
  </si>
  <si>
    <t>Realizar treinamento voltado para o planograma</t>
  </si>
  <si>
    <t>Septiembre</t>
  </si>
  <si>
    <t>Sérgio e Nathalia</t>
  </si>
  <si>
    <t>Dezembro</t>
  </si>
  <si>
    <t>Existem planogramas específicos para consumo imediato e consumo futuro definidos por canais e subcanais, que estão disponíveis para as Áreas de EDF (próprias e de terceiros) e Vendas (diretas e indiretas).</t>
  </si>
  <si>
    <t>Há treinamentos semestrais para toda a equipe de EDF e de Vendas com o objetivo de entender o planograma, seus benefícios e negociar com os clientes.</t>
  </si>
  <si>
    <t>A política de 3 faces por SKU é aplicada nos planogramas e há a medição do índice de ocupação do espaço por planograma ou modelo.</t>
  </si>
  <si>
    <t>Existe uma comunicação do planograma ao cliente e há um processo de tracking trimestral de cumprimento do planograma (ex.: photo recognition, pesquisa de execução, etc.).</t>
  </si>
  <si>
    <t>Garantir a capacidade do Fabricante para definir, implementar e manter a estratégia do planograma no mercado.</t>
  </si>
  <si>
    <t>Material de treinamento e lista de participantes</t>
  </si>
  <si>
    <t>Material aplicado e resultado do cálculo</t>
  </si>
  <si>
    <t>Ferramentas de comunicação para o cliente e relatório trimestral</t>
  </si>
  <si>
    <t>Possuem material com diversas orientações . O time comercial e de geladeira tem acesso a apps</t>
  </si>
  <si>
    <t>Não existe mais posição estabelecida na frente.</t>
  </si>
  <si>
    <t>A politica de 3 faces esta sendo aplicada no material de planograma junto com os 5 plilares de execução (sovi KO). Necessário adicionar a mediação do indice de ocupação.</t>
  </si>
  <si>
    <t>Conseguem verificar vendas de cada cliente expecpifico, aberto por canal. Na própria geladeira tem um QR code que possui as infos.</t>
  </si>
  <si>
    <t>Necessario adicionar uma comunicação de plonograma ao cliente e tracking trimestral de cumprimento de plonograma.</t>
  </si>
  <si>
    <t>O ideia é que tenha um treinamento que irão implantar nesse ano ainda</t>
  </si>
  <si>
    <r>
      <t xml:space="preserve">#5: </t>
    </r>
    <r>
      <rPr>
        <b/>
        <sz val="36"/>
        <color theme="1" tint="0.14999847407452621"/>
        <rFont val="Century Gothic"/>
        <family val="2"/>
      </rPr>
      <t xml:space="preserve">PLANEJAMENTO PARA FULL POTENTIAL </t>
    </r>
  </si>
  <si>
    <t>Realizaram uma consultoria externa para verificação do Full Potential em parceria com a Coca- Cola, os números atuais estão em linnha com o recomendado do CSE.</t>
  </si>
  <si>
    <t>Buscar o cronograma para a verificação se o plano está em execução. Verificar se estão acelerando o atingimento do full potential.</t>
  </si>
  <si>
    <t>Junio</t>
  </si>
  <si>
    <t>Bruna</t>
  </si>
  <si>
    <t>Existe um documento formalizado entre o Fabricante e a Coca-Cola Company definindo todo o full potential de EDF.</t>
  </si>
  <si>
    <t>Existe um plano multi-year que inclui a meta para o ano corrente, que está em execução e sem atrasos.</t>
  </si>
  <si>
    <t>Há evidências de que o Fabricante está acelerando as compras para o atingimento do full pontential.</t>
  </si>
  <si>
    <t>O racional lógico do full pontential considera variáveis ​​como: canais emergentes, zonas quentes, concorrência, etc.</t>
  </si>
  <si>
    <t>Garantir que o Fabricante e a Coca-Cola Company estabeleçam e executem o plano para alcançar e manter todo o full potential.</t>
  </si>
  <si>
    <t>Documento formalizado</t>
  </si>
  <si>
    <t>Plano multi-year relatório de cumprimento do plano</t>
  </si>
  <si>
    <t>Relatório de cumprimento do plano</t>
  </si>
  <si>
    <t>Racional lógico do estudo</t>
  </si>
  <si>
    <t>Existem 2 docs. - LRP (Trata de grandes pontos para os próximos 5 anos) a partir dissi existe um acordo/ caminho do que deve ser feito nos próximos 5 anos.  Pegar doc com assinaturas - Bernardo</t>
  </si>
  <si>
    <t>Estão conseguindo cumprir as metas.</t>
  </si>
  <si>
    <t>Já compraram e instalaram mais que o esperado.</t>
  </si>
  <si>
    <t>Apresentada a carta acordo referente aos anos 21/22, cerificado que estão comprando mais do que o previsto para 2022 em um processo de aceleração da carta.</t>
  </si>
  <si>
    <t>fizeram uma analise de novos canais e novas tecnologias os números projetados de compras futuras ultrapassam o full potential recomendado pelo CSE.</t>
  </si>
  <si>
    <r>
      <rPr>
        <sz val="36"/>
        <color theme="1" tint="0.14999847407452621"/>
        <rFont val="Century Gothic"/>
        <family val="2"/>
      </rPr>
      <t xml:space="preserve">#6: </t>
    </r>
    <r>
      <rPr>
        <b/>
        <sz val="36"/>
        <color theme="1" tint="0.14999847407452621"/>
        <rFont val="Century Gothic"/>
        <family val="2"/>
      </rPr>
      <t>GESTÃO P&amp;L DA ÁREA DE EDF</t>
    </r>
  </si>
  <si>
    <t>Possuem centro de custo para as regiões e visibilidade consolidada diariamente no Power BI.</t>
  </si>
  <si>
    <t>Analisar possibilidade de criar rotina de geração de ideias de saving.</t>
  </si>
  <si>
    <t>Existe um centro de custos para a Área de EDF e um controle de gestão (com MDO, despesas operacionais, custos de transporte, serviços contratados, etc.) com o detalhamento de pelo menos as seguintes variáveis: manutenção, movimentação, armazenamento, administrativo e baixa.</t>
  </si>
  <si>
    <t>Existem análises de custos mensais incluindo todas as variáveis ​​vs. BP e ano anterior, bem como o cálculo da média mensal por equipe (resultado do mês vs parque total).</t>
  </si>
  <si>
    <t>Existe um programa de incentivo contínuo para a geração de ideias de savings.</t>
  </si>
  <si>
    <t>Há receita de serviços técnicos para EDFs não KO em clientes KO.</t>
  </si>
  <si>
    <t>Planejar os recursos para a gestão da Área de EDF, garantir seu monitoramento contínuo e, por fim, ter um processo consistente de cálculo do custo total por equipamento.</t>
  </si>
  <si>
    <t>Orçamento/centro de custo aprovado e relatório de conformidade</t>
  </si>
  <si>
    <t>Relatório mensal e resultado do cálculo</t>
  </si>
  <si>
    <t>Plano de programa e exemplos de execução</t>
  </si>
  <si>
    <t>Executar exemplos</t>
  </si>
  <si>
    <t>Possuem centros de custo de GDM: pacote de manutenção (movimentação, manutenção e armazenamento), pessoas e outros ativos</t>
  </si>
  <si>
    <t>Não possuem um programa contínuo para gerar savings.</t>
  </si>
  <si>
    <r>
      <t xml:space="preserve">#7: </t>
    </r>
    <r>
      <rPr>
        <b/>
        <sz val="36"/>
        <color theme="1" tint="0.14999847407452621"/>
        <rFont val="Century Gothic"/>
        <family val="2"/>
      </rPr>
      <t>VISITA AO MERCADO</t>
    </r>
  </si>
  <si>
    <t>Estaão realizando visitas desde janeiro por meio de um checklist.</t>
  </si>
  <si>
    <t>Consolidar os resultados das visitas Adicionar a área dos participantes.</t>
  </si>
  <si>
    <t>Baja</t>
  </si>
  <si>
    <t>Existe um calendário de visitas mensais entre os representantes da Área de EDF e Vendas e elas estão acontecendo.</t>
  </si>
  <si>
    <t>As visitas são organizadas com checklist por cliente que contempla a execução do EDF, satisfação do cliente e ações realizadas (operacionais e estratégicas), além de um resultado consolidado com o histórico.</t>
  </si>
  <si>
    <t>Há reuniões trimestrais entre as lideranças da Área de EDF e de Vendas para analisar insights e gerar planos de ação com base no resultado consolidado.</t>
  </si>
  <si>
    <t>Foi realizada uma visita de benchmarking entre Fabricantes (exceto eventos organizados pela Coca-Cola Company).</t>
  </si>
  <si>
    <t>Ter uma rotina de visita ao mercado com a participação de um representante do EDF e das Áreas de Vendas, a fim de identificar oportunidades de melhoria.</t>
  </si>
  <si>
    <t>Calendário planejado, lista de participantes e exemplos de execução</t>
  </si>
  <si>
    <t>Material aplicado e relatório de histórico</t>
  </si>
  <si>
    <t xml:space="preserve">Material e/ou ata de reunião trimestral e lista de participantes </t>
  </si>
  <si>
    <t>Exemplos de execução</t>
  </si>
  <si>
    <t>Possuem calendário de janeiro até agosto.</t>
  </si>
  <si>
    <t>Existe um checklist para cada geladeira. Falta consolidar todos os resultados das visitas para conseguirem ter base para as reuniões trimestrais.</t>
  </si>
  <si>
    <t>As visitas estão ocorrendo com a presença de pessoas da área comercia e equipamentos, além disso á aconsolidação dos resultados das visitas com base na satisfação do cliente. Sugestão: consolidar os clientes visitados de acordo com os problemas identificados : invazão, baixo de volumet, falhas técnicas...</t>
  </si>
  <si>
    <r>
      <t xml:space="preserve">#8: </t>
    </r>
    <r>
      <rPr>
        <b/>
        <sz val="36"/>
        <color theme="1" tint="0.14999847407452621"/>
        <rFont val="Century Gothic"/>
        <family val="2"/>
      </rPr>
      <t>ROTINAS DE INOVAÇÃO</t>
    </r>
  </si>
  <si>
    <t xml:space="preserve">Estão realizando projetos de inovação, entretanto é necessário consolidar as inicitaivas em um cronograma. </t>
  </si>
  <si>
    <t>Inserir a rotina de inovação referente as atividades realizadas internamente  da área de geladeiras com outras áreas onde de fato seja possível entender que a inovação partiu de Andina (ex: máquina de gaxeta, disponibilização de documentos no app...)</t>
  </si>
  <si>
    <t>No Cumple</t>
  </si>
  <si>
    <t>Existem rotinas trimestrais de geração de ideias (brainstorm, design thinking, etc.) com diferentes áreas (Vendas, Trade-marketing, Técnica, etc.) que resultam numa lista com as propostas de inovação na Área de EDF.</t>
  </si>
  <si>
    <t>Existe um processo de priorização das propostas que contempla pelo menos 2 critérios: complexidade, satisfação do cliente, impacto no negócio, custo e retorno financeiro, além de um plano de implementação das propostas selecionadas (ex.: Gantt).</t>
  </si>
  <si>
    <t>Há um tracking mensal do andamento das inovações e o tema é compartilhado mensalmente com um membro do SLT.</t>
  </si>
  <si>
    <t>Há um workshop anual de inovação promovido pela Área de EDF com a participação de convidados (diferentes áreas, fornecedores, outros Fabricantes, clientes, consultores, etc.) com o objetivo de gerar novas ideias.</t>
  </si>
  <si>
    <t>Rotinas de revisão trimestral, lista de participantes e resultados das propostas</t>
  </si>
  <si>
    <t>Definição do plano de priorização e implementação</t>
  </si>
  <si>
    <t xml:space="preserve">Relatório mensal, material e/ou ata da reunião mensal e lista de participantes </t>
  </si>
  <si>
    <t>Eles possuem uma maquina para produção de gaxetas. Sendo esse processo um proposta de inovação contínua.</t>
  </si>
  <si>
    <r>
      <t xml:space="preserve">#9: </t>
    </r>
    <r>
      <rPr>
        <b/>
        <sz val="36"/>
        <color theme="1" tint="0.14999847407452621"/>
        <rFont val="Century Gothic"/>
        <family val="2"/>
      </rPr>
      <t>SATISFAÇÃO DO CLIENTE</t>
    </r>
  </si>
  <si>
    <t>Realizam a pesquisa de satisfação mensal. A mesma é uma pesquisa única tanto para instalação quanto para manutenção, onde é realizada uma pergunta sobre o serviço da área de equipamentos.</t>
  </si>
  <si>
    <t>Verificar se é medida a satisfação dos clientes nas correções independentemente se a geladeira tem o seu chamado resolvido. Gerar um resultado consolidado. Atenção a formulação do indicador, o objetivo é verificar se o cliente está satisfeito (mesmo se o chamado for resolvido).</t>
  </si>
  <si>
    <t>Há uma pesquisa mensal de satisfação de instalação e manutenção, além de um tracking do indicador consolidado.</t>
  </si>
  <si>
    <t>As pesquisas incluem pelo menos a avaliação de 3 critérios entre: etapa da solicitação/call center, atendimento pessoal, execução do serviço e tempo prestado, além de reuniões trimestrais para análise e acompanhamento de melhorias.</t>
  </si>
  <si>
    <t>Há uma pesquisa de satisfação trimestral onde os vendedores avaliam a Área de EDF</t>
  </si>
  <si>
    <t>Há projetos que envolvem clientes que indicam mais oportunidades de melhoria dos serviços e/ou as respostas da pesquisa representam 10% da totalidade para cada tipo de serviço.</t>
  </si>
  <si>
    <t>Ter uma amostragem ou indicador de satisfação que dê a visão do cliente sobre o desempenho, trabalho e serviço da Área de EDF.</t>
  </si>
  <si>
    <t>Script de pesquisa e relatório mensal</t>
  </si>
  <si>
    <t>Script da pesquisa e material e/ou ata da reunião trimestral</t>
  </si>
  <si>
    <t>Script de pesquisa e relatório trimestral</t>
  </si>
  <si>
    <t>Exemplo de execução e/ou resultado de cálculo</t>
  </si>
  <si>
    <t>Compartilhar com eles os documentos de satisfação.</t>
  </si>
  <si>
    <t xml:space="preserve"> Ha pesquisa de pós atendimento  de instalações e manutenções.</t>
  </si>
  <si>
    <t>o programa mede satisfação do cliente (pois já sabem que foi instalado pelo SAP), mas querem saber o que aconteceu no serviço.</t>
  </si>
  <si>
    <t>Total de contatos com sucesso</t>
  </si>
  <si>
    <t>Resolvido satisfeito</t>
  </si>
  <si>
    <t>% satisfação de reparo</t>
  </si>
  <si>
    <t>% satisfação de instalação</t>
  </si>
  <si>
    <t>indicador consolidado</t>
  </si>
  <si>
    <r>
      <t xml:space="preserve">#10: </t>
    </r>
    <r>
      <rPr>
        <b/>
        <sz val="36"/>
        <color theme="1" tint="0.14999847407452621"/>
        <rFont val="Century Gothic"/>
        <family val="2"/>
      </rPr>
      <t>PROGRAMA SRM</t>
    </r>
  </si>
  <si>
    <t>Realizaram a pesquisa de SRM e realizaram agendas pontuais com planos de ação.</t>
  </si>
  <si>
    <t>Necessário apresentar o resultado para o Fornecedor (sugestão ver as questões referente a vida útil). Ver estratégias de geladeiras prestas e smart para entender se é possível enteder que há algum projeto a partir da inovação proposta. Se possível, atualizar a pesquisa de acordo com as variaveis do dashboard.</t>
  </si>
  <si>
    <t>Más que Cumple</t>
  </si>
  <si>
    <t>Há uma pesquisa de satisfação do serviço do fornecedor majoritário liderada pela Área de EDF e foi realizada a reunião anual de SRM tratando do resultado do ano corrente.</t>
  </si>
  <si>
    <t>A reunião anual de SRM inclui a análise de pelo menos 3 das seguintes métricas: SLA de chegada, % de falha técnica, vida útil e sustentabilidade (ex.: consumo de energia), além de gerar planos de ação.</t>
  </si>
  <si>
    <t>A reunião anual de SRM também inclui projetos de redução de custos, inovação e/ou sustentabilidade.</t>
  </si>
  <si>
    <t>A reunião anual de SRM com o fornecedor é presencial e inclui uma saída ao mercado em conjunto.</t>
  </si>
  <si>
    <t>Desenvolver uma relação de cooperação mútua e criação de valor com o fornecedor mais estratégico.</t>
  </si>
  <si>
    <t>Roteiro da pesquisa e material e/ou ata da reunião anual</t>
  </si>
  <si>
    <t>Material e/ou ata da reunião anual</t>
  </si>
  <si>
    <t>Houve uma avaliação/pesquisa. Já a reunião com o fornecedor deve ser sobre os resultados dessa avaliação e como podem melhorar nas notas baixas.</t>
  </si>
  <si>
    <t>Eles possuem na ata o prazo de entrega, equipamentos avaliados</t>
  </si>
  <si>
    <t>Junta-se ao fornecedor para mostrar a importancia desses pontos.</t>
  </si>
  <si>
    <r>
      <t xml:space="preserve">#11: </t>
    </r>
    <r>
      <rPr>
        <b/>
        <sz val="36"/>
        <color theme="1" tint="0.14999847407452621"/>
        <rFont val="Century Gothic"/>
        <family val="2"/>
      </rPr>
      <t xml:space="preserve"> ESTRATEGIA DE CONECTIVIDADE</t>
    </r>
  </si>
  <si>
    <t>Política em desenvolvimento</t>
  </si>
  <si>
    <t>Avaliar a projeção para cobertura de 100% do parque desconsiderando o retrofit.</t>
  </si>
  <si>
    <t>O Fabricante possui uma política formal de conectividade que inclui pelo menos 3 das seguintes definições: matriz de investimento (ex.: por modelo de equipamento, tipo de cliente, nível de risco, NSE, etc.), estratégia de retrofit, responsáveis com rotinas estabelecidas ​​e visão de longo prazo (meta de cobertura).</t>
  </si>
  <si>
    <t>Existe um plano multi-year de longo prazo que inclui a meta para o ano corrente, o qual está em execução e sem atrasos.</t>
  </si>
  <si>
    <t>A política de conectividade define a visão de 100% de cobertura, incluindo todos os modelos operados pelo Fabricante (ex.: Low Cost).</t>
  </si>
  <si>
    <t>O Fabricante tem pelo menos 30% de seu parque com conectividade completa (com informações de controle, mercado e manutenção atualizados mensalmente, ordens de serviço geradas e análises de savings).</t>
  </si>
  <si>
    <t>Garantir que o Fabricante esteja comprometido com um plano de implementação de conectividade com uma visão estratégica estabelecida.</t>
  </si>
  <si>
    <t>Processo formal</t>
  </si>
  <si>
    <t>Plano multi-year e relatório de cumprimento do plano</t>
  </si>
  <si>
    <t>Relatório de cumprimento (fonte: E2E)</t>
  </si>
  <si>
    <t>Compartilhar a politica escrita que temos.</t>
  </si>
  <si>
    <t>A política apresentada possui as informações referente a responsabilidade, cobertura de longo prazo e estratégia de retrofit, logo atende os requisitos da pontuação. Obs: referente a matriz de investimento fica pendente a informação monetária.</t>
  </si>
  <si>
    <t>Apresentado o plano multiyear até 2027 utilizando o Monitor (novo beancon) + Wellington.</t>
  </si>
  <si>
    <r>
      <t xml:space="preserve">#12: </t>
    </r>
    <r>
      <rPr>
        <b/>
        <sz val="36"/>
        <color theme="1" tint="0.14999847407452621"/>
        <rFont val="Century Gothic"/>
        <family val="2"/>
      </rPr>
      <t>ESTRATÉGIA DE SUSTENTABILIDADE</t>
    </r>
  </si>
  <si>
    <t xml:space="preserve">Política em desenvolvimento. Realizam controle de emissão de gases, porém sem a meta. </t>
  </si>
  <si>
    <t>Elaborar a política e atualizar o rela´torio de emissão com a respectiva conversão (além de reuniões)</t>
  </si>
  <si>
    <t>Existe uma política de sustentabilidade para a Área de EDF que inclui uma visão de longo prazo com metas de redução de carbono estabelecidas de acordo com a estratégia da Coca-Cola Company.</t>
  </si>
  <si>
    <t>Há análises no ano corrente do status x meta que inclui o consumo de energia do parque de EDF e do parque de EDF com gases sustentáveis ​​x não sustentáveis.</t>
  </si>
  <si>
    <t>Há um cálculo anual do CO2 produzido pela Área de EDF, sua equivalência em outras unidades (ex.: árvores, carros, etc.) e o tema é apresentado na reunião do SLT.</t>
  </si>
  <si>
    <t>Existem iniciativas de inovação em curso que reduzem o impacto na pegada de carbono com parcerias estratégicas (ex.: universidades, fornecedores, etc.) e se comprovam as reduções de CO2 em relação ao ano anterior.</t>
  </si>
  <si>
    <t>Garantir o compromisso da Área de EDF com o projeto de sustentabilidade da Coca-Cola Company.</t>
  </si>
  <si>
    <t>Relatório anual</t>
  </si>
  <si>
    <t>Relatório anual, material e/ou ata da reunião e lista de participantes</t>
  </si>
  <si>
    <t>Exemplos de execução e relatório anual</t>
  </si>
  <si>
    <t>Identificar politicas de sustentabilidade e enviar.</t>
  </si>
  <si>
    <t>Já entratam em contato com a area de sustentabilidade para utilizar a politica para a area de geladeiras. Atenção para traçar um objetivo e não realizar algo momentâneo.</t>
  </si>
  <si>
    <t>Há um politica com redução de CO2 devidamente formalizado.</t>
  </si>
  <si>
    <t>Devem atualizar o relatório com a respectiva conversão para a reunião quando forem compartilhar o resultado.</t>
  </si>
  <si>
    <r>
      <t xml:space="preserve">#13: </t>
    </r>
    <r>
      <rPr>
        <b/>
        <sz val="36"/>
        <color theme="1" tint="0.14999847407452621"/>
        <rFont val="Century Gothic"/>
        <family val="2"/>
      </rPr>
      <t>CERTIFICAÇÃO E2E</t>
    </r>
  </si>
  <si>
    <t>Há a formalização da E2E Champion com as metas associadas à certificação do projeto.</t>
  </si>
  <si>
    <t>Atualizar nas rotinas mensais o progresso do E2E</t>
  </si>
  <si>
    <t>Há um E2E Champion estabelecido formalmente com metas pessoais associadas a implementação do programa, planejando a futura certificação.</t>
  </si>
  <si>
    <t>O E2E Champion lidera reuniões mensais com a equipe interna do Fabricante com um status do E2E em relação a: progresso, projeção de certificação e planos de ação.</t>
  </si>
  <si>
    <t>O resultado do progresso do E2E faz parte das reuniões mensais do SLT.</t>
  </si>
  <si>
    <t>A nota de avaliação é superior a 80%.</t>
  </si>
  <si>
    <t>Garantir que o Fabricante esteja comprometido com o Programa E2E e suas rotinas de Melhoria da Área de EDF.</t>
  </si>
  <si>
    <t>Objetivos pessoais formalizados</t>
  </si>
  <si>
    <t>Material e/ou ata da reunião mensal</t>
  </si>
  <si>
    <t>Material e/ou ata da reunião mensal e lista de participantes.</t>
  </si>
  <si>
    <t>Reporte de cumprimento (fonte: E2E)</t>
  </si>
  <si>
    <t>planos de ação para</t>
  </si>
  <si>
    <r>
      <t xml:space="preserve">#14: </t>
    </r>
    <r>
      <rPr>
        <b/>
        <sz val="36"/>
        <color theme="1" tint="0.14999847407452621"/>
        <rFont val="Century Gothic"/>
        <family val="2"/>
      </rPr>
      <t>COMPROMISSO CON O PROGRAMA E2E</t>
    </r>
  </si>
  <si>
    <t>100% das informações atualizadas e com qualidade, com tolerância de 20% de atraso e correções.</t>
  </si>
  <si>
    <t>100% das informações atualizadas e com qualidade, com tolerância de 10% de atraso e correções.</t>
  </si>
  <si>
    <t>100% de informações atualizadas e tolerância de 1 exceção além de participação em todos os calls (comunidade e suporte).</t>
  </si>
  <si>
    <t>Participação do Fabricante no workshop de EDF com mais de 1 representante.</t>
  </si>
  <si>
    <t>Garantir a implementação do E2E através das rotinas do Fabricante, garantindo a sua pontualidade e qualidade.</t>
  </si>
  <si>
    <t>Matriz de engajamento (fonte: E2E)</t>
  </si>
  <si>
    <t>Atualização fechamento de dezembro</t>
  </si>
  <si>
    <r>
      <t xml:space="preserve">#15: </t>
    </r>
    <r>
      <rPr>
        <b/>
        <sz val="36"/>
        <color theme="1" tint="0.14999847407452621"/>
        <rFont val="Century Gothic"/>
        <family val="2"/>
      </rPr>
      <t>SAVINGS DO PROGRAMA E2E</t>
    </r>
  </si>
  <si>
    <t>Possuem o acompanhmento trimestral de savings.</t>
  </si>
  <si>
    <t>Verificar a possibilidade de levantar os savings de reutilização de peças.</t>
  </si>
  <si>
    <t>Há um tracking trimestral de pelo menos 5 dos savings listados: vida útil, reaproveitamento de peças de reposição, venda zero, equipamentos no estoque, perda, solução remota e produtividade do técnico.</t>
  </si>
  <si>
    <t>Há um tracking trimestral de pelo menos 6 dos savings listados entre: vida útil, reutilização de peças de reposição, venda zero, equipamentos no estoque, perda, solução remota e produtividade dos técnicos, o tracking inclui outros savings calculados por iniciativa do Fabricante.</t>
  </si>
  <si>
    <t>O cálculo dos savings foram validados pela Área de Finanças e o tema é compartilhado trimestralmente em reunião com a SLT.</t>
  </si>
  <si>
    <t>Os savings geradas são destinados a projetos da Área de EDF.</t>
  </si>
  <si>
    <t>Garantir que o Fabricante tenha uma cultura de estimar e compartilhar as economias geradas pelo Programa E2E.</t>
  </si>
  <si>
    <t>Relatório de validação, material e/ou ata da reunião e lista de participantes</t>
  </si>
  <si>
    <t>Irão adicionar reutilização de peças e retirar movimentos evitáveis.</t>
  </si>
  <si>
    <r>
      <t xml:space="preserve">#16: </t>
    </r>
    <r>
      <rPr>
        <b/>
        <sz val="36"/>
        <color theme="1" tint="0.14999847407452621"/>
        <rFont val="Century Gothic"/>
        <family val="2"/>
      </rPr>
      <t>BUSINESS REVIEW DA AREA DE EDF</t>
    </r>
  </si>
  <si>
    <t>Possuem acompanhemnto mensal das principais métricas estratégicas e operativas relacionadas ao E2E.</t>
  </si>
  <si>
    <t>Adicionar  performance do E2E na apresentação ao SLT.</t>
  </si>
  <si>
    <t>O Business review mensal também inclui status de: custos (movimentos e serviços técnicos), volume gerado (crescimento líquido), projetos de inovação e sustentabilidade.</t>
  </si>
  <si>
    <t>O Business review mensal também inclui economia gerada e/ou oportunidade de volume, assim como o material é compartilhado com o Franchise Manager da Coca-Cola Company.</t>
  </si>
  <si>
    <t>Garantir a produção e publicação de um resumo executivo ao final de cada mês que é compartilhado com o SLT do Fabricante, gerando mais visibilidade para a Área de EDF</t>
  </si>
  <si>
    <t xml:space="preserve">Material e/ou ata da reunião e lista de participantes </t>
  </si>
  <si>
    <t>Material e/ou ata da reunião e lista de participantes</t>
  </si>
  <si>
    <t>Material e/ou ata da reunião, lista de participantes e exemplos de execução</t>
  </si>
  <si>
    <t>Possuem uma carta acordo com a CCIL em questão de não cumprimento do plano.</t>
  </si>
  <si>
    <t>Possuem uma carta assinada em 2020 contemplando até 2023 e a mesma foi atualizada em 2021 visando 2022.</t>
  </si>
  <si>
    <t>Existe um documento formalizando o acordo do plano de investimento do ano assinado pelo SLT do Fabricante e pela Coca-Cola Company.</t>
  </si>
  <si>
    <t>A carta de acordo está assinada desde o ano anterior, esclarecendo o investimento (R$) e quantidade (EDF ou portas).</t>
  </si>
  <si>
    <t>A carta de acordo contempla um plano multi-year de pelo menos 2 anos completos.</t>
  </si>
  <si>
    <t>A carta de acordo inclui o tratamento para situações de descumprimento dos compromissos pelo Fabricante e a Coca-Cola Company.</t>
  </si>
  <si>
    <t>Garantir que haja um alinhamento formal de investimento entre o forecast do Fabricante e da Coca-Cola Company.</t>
  </si>
  <si>
    <t>Documento formal</t>
  </si>
  <si>
    <t xml:space="preserve">Possuem carta acordo de 18000 mil para 21/22, foi assinado em 21 e foi assinado pelo Renato CEO. Consta quatidade e valor. Possuem um planejamento de instalação pré estabelecido. No ano de 2020 foi feita uma carta acordo com um plano ate 2023. </t>
  </si>
  <si>
    <t>Possuem uma carta acordo com a CCIL em caso de não cumprimento do plano.</t>
  </si>
  <si>
    <r>
      <t xml:space="preserve">#2: </t>
    </r>
    <r>
      <rPr>
        <b/>
        <sz val="28"/>
        <color theme="1" tint="0.14999847407452621"/>
        <rFont val="Century Gothic"/>
        <family val="2"/>
      </rPr>
      <t>GESTEÃO DE CHEGADAS E ESTOQUE DE EQUIPAMENTOS</t>
    </r>
  </si>
  <si>
    <t>Possuem um acompanhamento de chegadas realizadas em um sistema de acordo com as orientações do pontuação, o plano de compras para Q1 corresponde a 60% do pedidos realizados</t>
  </si>
  <si>
    <t>Verificar a possibilidade de no final do ano(out, nov) de já buscar a formalização das compras junto ao fornecedor e a Coca-Cola.</t>
  </si>
  <si>
    <t>Há uma análise mensal das chegadas que inclui, no mínimo, as seguintes variáveis: capacidade máxima de estoque, projeção de instalação e retirada e equipamentos no estoque (usados, em manutenção e para descarte).</t>
  </si>
  <si>
    <t>Há um responsável definido para garantir a eficiência das chegadas, e ele executa uma rotina de followup regular que inclui métricas e metas que garantem que não haja OOS ou excesso de estoque.</t>
  </si>
  <si>
    <t>75% das compras do ano com P.O. enviado ao fornecedor em Q1.</t>
  </si>
  <si>
    <t>O plano prevê a chegada de 70% dos EDFs no primeiro semestre e está sendo cumprido.</t>
  </si>
  <si>
    <t>Promover a eficiência na gestão de chegadas e estoque de equipamentos.</t>
  </si>
  <si>
    <t>Racional lógico do estudo e relatório mensal</t>
  </si>
  <si>
    <t>Objetivos pessoais formalizados e exemplos de execução</t>
  </si>
  <si>
    <t>Relatório de conformidade (fonte: E2E)</t>
  </si>
  <si>
    <t>Existe um tracking do estoque de GDM, projeção diária de retirada e instalção. Tendo visualização do que está em galpão, mercado, ocupação minima e máxima.</t>
  </si>
  <si>
    <t>Possui um responável em cada região para fazer o check in e check out, e com isso monitorar o nível de ocupação do estoque. Através de escaneamento, tem um inventário que é arquivado para eventuais consultas.</t>
  </si>
  <si>
    <t>Apresentado o tracking mensal de controle de estoque e a formalização do reponsavel por garantir essa rotina</t>
  </si>
  <si>
    <t>Receram apenas 8 mil pedidos dos 18 mil em Q1, não totalizando os 13500 (75%)</t>
  </si>
  <si>
    <t>O indicador está em 50% (vs plano total)</t>
  </si>
  <si>
    <r>
      <t xml:space="preserve">#3: </t>
    </r>
    <r>
      <rPr>
        <b/>
        <sz val="36"/>
        <color theme="1" tint="0.14999847407452621"/>
        <rFont val="Century Gothic"/>
        <family val="2"/>
      </rPr>
      <t>SLA DOS FORNECEDORES</t>
    </r>
  </si>
  <si>
    <t>Possuem um material para avalização de cada chegada e trimestralmente é feita uma avaliação via SAP. A amior oportunidade de melhoria seria referente ao prazo. Realizam reuniões quinzenais com o fornecedor.</t>
  </si>
  <si>
    <t>Continuar com as iniciativas junto aos fornecedores e as avaliações determinadas nas chegadas.</t>
  </si>
  <si>
    <t>Galeão</t>
  </si>
  <si>
    <t>Existe um reporte de cumprimento do fornecedor para cada chegada que inclui: pontualidade de entrega, validação contábil, física e qualitativa.</t>
  </si>
  <si>
    <t>Há um tracking trimestral do SLA nos períodos com chegadas que inclui a avaliação final de pontualidade de entrega, validação contábil, física e qualitativa.</t>
  </si>
  <si>
    <t>Há reuniões trimestrais com o fornecedor nos períodos com chegadas para compartilhar o SLA e definir planos de ação.</t>
  </si>
  <si>
    <t>Há penalidades contratuais para o não cumprimento do SLA</t>
  </si>
  <si>
    <t>Avaliar o desempenho operacional dos fornecedores de acordo com a Área de EDF.</t>
  </si>
  <si>
    <t>Material aplicado e exemplos de execução</t>
  </si>
  <si>
    <t>Material e/ou ata da reunião trimestral e lista de participantes</t>
  </si>
  <si>
    <t xml:space="preserve">Para toda chegada de equipametos,  possui uma avaliação de alguns critérios para que possa ser dada uma nota para cada um dos </t>
  </si>
  <si>
    <t>Possui SAP  para dar nota aos alguns critérios, como prazo, carregamento... O acompanhamento é mensal. Tem tido problemas com prazo, então estão tendo reuniões quinzenais para resolver essa questão.</t>
  </si>
  <si>
    <t>Possuem reuniões quinzenais com o fornecedor, aproximando os mesmos, trantando os temais de forma mais rápida.</t>
  </si>
  <si>
    <t>Consta no contrato com a Metalfrio que em caso ocorra uma violação ao planejado, uma multa será aplicada.</t>
  </si>
  <si>
    <r>
      <t xml:space="preserve">#4: </t>
    </r>
    <r>
      <rPr>
        <b/>
        <sz val="36"/>
        <color theme="1" tint="0.14999847407452621"/>
        <rFont val="Century Gothic"/>
        <family val="2"/>
      </rPr>
      <t>TCO</t>
    </r>
  </si>
  <si>
    <t>Possuem parte das variabveis solicitadas pela pontuação, entretanto é necessário consolidar em um registro individual.</t>
  </si>
  <si>
    <t>Atualizar o cálcuo referente a receita com o valor medio da MTR pela quantidade de equipamentos.</t>
  </si>
  <si>
    <t>Há registro individual por equipamento de pelo menos 3 das seguintes variáveis ​​de TCO: idade de descarte, preço de compra, consumo de peças, custo de serviço, custo de transporte, refurbishment e receita (ex.: venda de sucata).</t>
  </si>
  <si>
    <t>Há registro individual por equipamento de pelo menos 5 das seguintes variáveis ​​de TCO: idade de descarte, preço de compra, consumo de peças, custo de serviço, custo de transporte, refurbishment e receita (ex.: venda de sucata).</t>
  </si>
  <si>
    <t>Existem análises anuais por SKU dos custos totais durante a vida útil do EDF.</t>
  </si>
  <si>
    <t>A informação é utilizada no momento de decidir a compra.</t>
  </si>
  <si>
    <t>Verificar a existência de um processo que garanta o TCO (Total Cost of Ownership) para as decisões de compra.</t>
  </si>
  <si>
    <t>Registro no sistema</t>
  </si>
  <si>
    <t>Possuem um sistema que consta data de aquisição, valor de compra, venda de sucata(MTR). (não tem individualmente para cada GDM.</t>
  </si>
  <si>
    <t>Possui de forma detalhada cada manutenção realizada e tipo.</t>
  </si>
  <si>
    <t>existe uma análise, contando todos os gastos com manutenção. É necessário ter essa análise de cada equipamento</t>
  </si>
  <si>
    <r>
      <t xml:space="preserve">#5: </t>
    </r>
    <r>
      <rPr>
        <b/>
        <sz val="36"/>
        <color theme="1" tint="0.14999847407452621"/>
        <rFont val="Century Gothic"/>
        <family val="2"/>
      </rPr>
      <t>COLABORAÇÃO COM CEPG</t>
    </r>
  </si>
  <si>
    <t>Realizaram uma reunião com a CEPG no dia 31/5</t>
  </si>
  <si>
    <t>Realizar um comparativo por equipamento e identificar os motivos dos preços de um equipamento de um ano vs o outro</t>
  </si>
  <si>
    <t>Existe uma rotina de reuniões com periodicidade mínima semestral com o CEPG com a participação do Fabricante local.</t>
  </si>
  <si>
    <t>O Fabricante cumpre as atividades acordadas com CEPG (feedback do CEPG).</t>
  </si>
  <si>
    <t>Existe um acompanhamento anual de savings vs ao ano anterior.</t>
  </si>
  <si>
    <t>O Fabricante implementa as inovações recomendadas pela CEPG.</t>
  </si>
  <si>
    <t>Verificar se há alinhamento periódico com o CEPG, a fim de obter melhorias.</t>
  </si>
  <si>
    <t>Material e/ou ata da reunião semestral e lista de participantes</t>
  </si>
  <si>
    <t>Relatório de conformidade (fonte: relatório CEPG)</t>
  </si>
  <si>
    <t>Existe uma reunião mensal com os fornecedores e comercial</t>
  </si>
  <si>
    <t>O fabricante está implementando testes com a geladeira Top Model.</t>
  </si>
  <si>
    <r>
      <t xml:space="preserve">#1: </t>
    </r>
    <r>
      <rPr>
        <b/>
        <sz val="36"/>
        <color theme="1" tint="0.14999847407452621"/>
        <rFont val="Century Gothic"/>
        <family val="2"/>
      </rPr>
      <t>CONTROLE DE MOVIMENTOS E ESTOQUE DE EDF</t>
    </r>
  </si>
  <si>
    <t>Existe um documento formal com a descrição das atividades relacionadas a entrada e saída de equipamentos. O documento fica disponibilizado por meio do app.</t>
  </si>
  <si>
    <t>Existe um processo formal que define as etapas e os responsáveis ​​pela entrada e saída dos EDFs e o mesmo está disponível para consulta durante a atividade.</t>
  </si>
  <si>
    <t>Existe a garantia de que as revisões  são realizadas por diferentes áreas (double check).</t>
  </si>
  <si>
    <t>Existe um processo de inventário do estoque de EDFs em todos os armazéns com periodicidade mínima mensal e com registros formais.</t>
  </si>
  <si>
    <t>Os processos (entrada, saída e inventário) são auditados por uma área independente semestralmente (amostral ou sem aviso prévio).</t>
  </si>
  <si>
    <t>Ter um processo estabelecido de entrada, saída e inventário de EDF para garantir o correto cadastro no sistema com identificação individual.</t>
  </si>
  <si>
    <t>Processo formal e ferramentas para acessar o material</t>
  </si>
  <si>
    <t>Processo formal e exemplos de execução</t>
  </si>
  <si>
    <t>Relatório de cumprimento</t>
  </si>
  <si>
    <t>Relatório de auditoria</t>
  </si>
  <si>
    <t>No menoto da entrada e saída as geladeiras são escaneadas para identificação do seu código, além disso a segurança patrimonial também faz a checagem.</t>
  </si>
  <si>
    <t>Existe uma pasta compartilhada em rede com todo o inventário e essa verificação é feita mensalmente por região.</t>
  </si>
  <si>
    <r>
      <t xml:space="preserve">#2: </t>
    </r>
    <r>
      <rPr>
        <b/>
        <sz val="36"/>
        <color theme="1" tint="0.14999847407452621"/>
        <rFont val="Century Gothic"/>
        <family val="2"/>
      </rPr>
      <t>POLÍTICA DE ARMAZENAMENT0</t>
    </r>
  </si>
  <si>
    <t>As áreas dentro do estoque são sinalizadas para facilitar a correta movimentação e armazenamento dos equipamentos, segundo orientação do fornecedor. Utilizam equipamentos adequados para evitar o uso de força manual</t>
  </si>
  <si>
    <t>Há um layout lógico que minimiza os movimentos, a acessibilidade é adequada e a política de estoque (ex.: vertical) é baseada no manual do fornecedor.</t>
  </si>
  <si>
    <t>Existem critérios para segmentação e sinalização de áreas definidas.</t>
  </si>
  <si>
    <t>Todos os movimentos (carga e descarga, transporte, manutenção, etc.) são feitos com instrumentos apropriados evitando o uso de força manual.</t>
  </si>
  <si>
    <t>Há automatização dos processos para minimizar movimentos ou otimizar o trabalho do pessoal envolvido (ex.: esteira, robôs, elevador, etc.).</t>
  </si>
  <si>
    <t>Assegurar um fluxo correto de movimentos no estoque de forma otimizada e segura.</t>
  </si>
  <si>
    <t>Layout do estoque, guia do fornecedor e exemplos de execução</t>
  </si>
  <si>
    <t>A metalfio enviou orientações de armazenamento dos equipamentos. Existe um layout do processo de armazenamento.</t>
  </si>
  <si>
    <t>As áreas do estoque são sinalizadas para a melhor movimentação e armazenamento</t>
  </si>
  <si>
    <t>Utilizam equipamentos adequando para evitar o uso de força manual</t>
  </si>
  <si>
    <r>
      <t xml:space="preserve">#3: </t>
    </r>
    <r>
      <rPr>
        <b/>
        <sz val="36"/>
        <color theme="1" tint="0.14999847407452621"/>
        <rFont val="Century Gothic"/>
        <family val="2"/>
      </rPr>
      <t>PROGRAMA DE QUALIDADE</t>
    </r>
  </si>
  <si>
    <t>Realizam um programa de qualidade sobre responsabilidade da Àrea de Qualidade que realiza auditorias trimestrais em toda a Andina. Há treinamentos sobre 5S dentro do portal do conhecimento. As auditorias são trimestrais e a meta é 90% para as 3 regiões - RJ, RP e ES.</t>
  </si>
  <si>
    <t>Necessário ver o plano de implementação do programa de qualidade + cronograma de treinamento anual. Como o programa é trimestral, verificar a possibilidade de gerar um conolidado anula voltado para s definições de 5S</t>
  </si>
  <si>
    <t>Existe um programa de qualidade implementado com um líder de implementação formalmente estabelecido e um plano de execução (ex.: Gantt).</t>
  </si>
  <si>
    <t>Há treinamento anual para toda a equipe que trabalha no estoque (próprio ou externo) e escritórios de acordo com o programa.</t>
  </si>
  <si>
    <t>Há evidências de auditorias anuais do programa de qualidade realizadas por área independente ou empresa externa, bem como planos de ação.</t>
  </si>
  <si>
    <t>A Área de EDF é certificada por pessoal adequado no ano corrente no Programa 5S e/ou ISO9001.</t>
  </si>
  <si>
    <t>Implementar o Programa 5S (senso de utilização, organização, limpeza, padronização e autodisciplina) para garantir a qualidade e produtividade dos processos.</t>
  </si>
  <si>
    <t>Objetivos pessoais formalizados e plano de implementação</t>
  </si>
  <si>
    <t>Existe um programa chamando QSE, que envolve segurança, qualidade, meio ambiente, saude e segurança. Equipe de qualidade é responável por isso. Existe uma avaliação/ auditoria interna trimestral, utilizando o 5s. Não possuem um planejamento anual.</t>
  </si>
  <si>
    <t>Existe o portal do conhecimento, que poussuem vários treinamentos e o colaborador deve concluir ao longo do ano esses cursos. O RH é o responsável em cobrar o funcionário, tanto com estabelicimento de datas. Existe um sistema que cobra os colaboradores a fazerem a o curso de 5S. Há treinamentos dentro do portal do conhecimento, mas não existe um cronograma para cursos anuais, futuros...</t>
  </si>
  <si>
    <t>Existe um grupo de whatsapp para pontos de melhoria. São feitas auditorias trimestrais e a meta é de 90%.</t>
  </si>
  <si>
    <r>
      <t xml:space="preserve">#4: </t>
    </r>
    <r>
      <rPr>
        <b/>
        <sz val="36"/>
        <color theme="1" tint="0.14999847407452621"/>
        <rFont val="Century Gothic"/>
        <family val="2"/>
      </rPr>
      <t>TRANSPORTE DE EQUIPAMENTOS</t>
    </r>
  </si>
  <si>
    <t>Possuem uma política orientando os processos de movimentação de equipamentos. Realizam um treinamento sobre ergonomia.</t>
  </si>
  <si>
    <t>Especificar ao treinamento sobre técnicas de movimentação de geladeiras e ver com o fornecedor se existe algum guia com orientações sobre movimentação do equipamento (transporte, armazenamento no caminhão, entrega...)</t>
  </si>
  <si>
    <t>Verificado o guia do fornecedor</t>
  </si>
  <si>
    <t>Existe um processo formal de transporte com instruções de movimentação que garanta a segurança das pessoas e integridade dos equipamentos e o responsável tem acesso direto para consulta durante a atividade.</t>
  </si>
  <si>
    <t>Há treinamento anual de técnicas de transporte para toda a equipe de EDF (própria e de terceiros).</t>
  </si>
  <si>
    <t>Existe um guia produzido pelo fornecedor de EDF com orientações sobre os movimentos.</t>
  </si>
  <si>
    <t>O Fabricante garante que não há força manual durante todo o processo de transporte (ex.: uso de elevador hidráulico, carrinhos, etc.).</t>
  </si>
  <si>
    <t>Garantir que os equipamentos sejam movidos de forma adequada, otimizada e segura.</t>
  </si>
  <si>
    <t>Guia do fornecedor</t>
  </si>
  <si>
    <t>Existe um processo formal que orienta o funcionário a utilizar EPIs, manuseio de geladeiras. Um video de como o colaborador consegue acessar o material no app.</t>
  </si>
  <si>
    <t>Toda a equipe faz o treinamento da NR e com certificados. Falta comprovar que esse curso é abrangente ou voltado para geladeiras. Ex: técnicas de movimentação, orientaçãoes aos clientes</t>
  </si>
  <si>
    <t>Apresentado o guia do fornecedor com as orientações sobre técnicas de movimentação dos equipamentos.</t>
  </si>
  <si>
    <r>
      <t xml:space="preserve">#5: </t>
    </r>
    <r>
      <rPr>
        <b/>
        <sz val="36"/>
        <color theme="1" tint="0.14999847407452621"/>
        <rFont val="Century Gothic"/>
        <family val="2"/>
      </rPr>
      <t>OTIMIZAÇÃO DE EQUIPAMENTOS NO ESTOQUE</t>
    </r>
  </si>
  <si>
    <t>Possuem tracking de acompanhemnto do estoque.</t>
  </si>
  <si>
    <t>Adicionar à política de controle os limites de ocupação do estoque. Realizar tracking do tempo médido de equipamentos novos e usados no estoque (verificar possibilidade de abrir as informações para gerar valor)</t>
  </si>
  <si>
    <t>Existe um processo formal com o objetivo de minimizar os equipamentos no estoque, definindo o estoque de segurança, ou tempo máximo no estoque e os responsáveis com as rotinas estabelecidas.</t>
  </si>
  <si>
    <t>Existe um tracking mensal do % de equipamentos em estoque que inclui: estoque de segurança, estoque máximo e parque total (em estoque + mercado).</t>
  </si>
  <si>
    <t xml:space="preserve">Há um tracking trimestral do tempo médio de equipamentos novos e usados ​​no estoque (da entrada à saída), com um plano de ação definido para evitar acúmulo (ex.: priorização de antigos vs. novos, roteirização definida para clientes, etc.) </t>
  </si>
  <si>
    <t>O processo é aplicado em todos os estoques e os equipamentos no estoque estão abaixo de 5% (YTD).</t>
  </si>
  <si>
    <t>Garantir a liderança da Área de EDF no processo de regularização de equipamentos em estoque com o objetivo de maximizar a frota no mercado.</t>
  </si>
  <si>
    <t>Relatório mensal</t>
  </si>
  <si>
    <t>Relatório trimestral e exemplos de execução</t>
  </si>
  <si>
    <t>Dentro das politicas internas há uma determinação de máximos e mínimos. Possuindo tracking de acompanhamento de estoque. Falta adicionar os limites de ocupação.</t>
  </si>
  <si>
    <t>Possuem um direcionamento % em cima da meta de instalação (atingimento máximo de 90% e oupação variável de acordo com as metas de instalação)</t>
  </si>
  <si>
    <t>possui uma relação ocupação vs ocupação máxima.</t>
  </si>
  <si>
    <t>estão em processo de evolução nesse item. Ex retirada de itens mais antigos do estoque.</t>
  </si>
  <si>
    <t>Enviaram uma atualização e estão em 5% agora.</t>
  </si>
  <si>
    <r>
      <t xml:space="preserve">#6: </t>
    </r>
    <r>
      <rPr>
        <b/>
        <sz val="36"/>
        <color theme="1" tint="0.14999847407452621"/>
        <rFont val="Century Gothic"/>
        <family val="2"/>
      </rPr>
      <t xml:space="preserve">PREVENÇÃO DE MOVIMENTOS IRREGURALES </t>
    </r>
  </si>
  <si>
    <t>Possuem uma normativa com a especificação das regras de movimentação, entertanto não é citada as consequencias. Estão com previsão de restrturar o material em setembro. Estão com um planejamento de inicar em julho um acopanhamento real vs sistema.</t>
  </si>
  <si>
    <t>Garantir que as iniciativas planejadas de atualiazação da norma e tracking. Por exemplos de assintaura de termos de responsabilidade para 2022.</t>
  </si>
  <si>
    <t>Existe um processo formal com regras para autorização de movimentação no mercado definindo as consequências em caso de descumprimento, o qual está disponível para toda a equipe de EDF e de Vendas.</t>
  </si>
  <si>
    <t>Toda a equipe de Vendas realizou treinamento sobre autorização de movimento de EDF e consequências de não cumprimento, assim como existe um reforço com comunicações semestrais.</t>
  </si>
  <si>
    <t>Há uma auditoria amostral que valida a localização dos equipamentos (real vs. sistema) e um relatório mensal que consolida inconsistências e planos de ação</t>
  </si>
  <si>
    <t>100% da equipe de vendas assina a responsabilidade dos equipamentos em sua rota.</t>
  </si>
  <si>
    <t>Estabelecer claramente as diretrizes e consequências do processo de movimentação não autorizada, com o objetivo de prevenir movimentações irregulares.</t>
  </si>
  <si>
    <t>Material de treinamento, lista de participantes e ferramentas de comunicação semestrais</t>
  </si>
  <si>
    <t>Relatório de auditoria e relatório mensal</t>
  </si>
  <si>
    <t>existe um aditivo de contrato que o funcionário assina ao entrar na empresa.</t>
  </si>
  <si>
    <t>Existe um documento passando essas instruções, vão disponibilizar no app e enviar um email para companhia. O novo terá mencionado as comsequencias para quem desumprir as ordens. Previsão: Setembro</t>
  </si>
  <si>
    <t>Possuem uma norma definida com as consequencias para casos de movimentação indevida. Está no app dos vendedores e da quipe técnica.</t>
  </si>
  <si>
    <t>Vai ter auditoria mensal para ver se o que consta no SAP está correto.</t>
  </si>
  <si>
    <t>No momento em que o vendedor é contratado, assina um termo dando ciência da sua responsabilidade dos ativos presentes nos PDVs, uma vez ao ano realiza treinamentos reforçando esse termo e dá a devida ciencia do seu conhecimento, ao término do treinamento recebe um certificado.</t>
  </si>
  <si>
    <r>
      <t xml:space="preserve">#7: </t>
    </r>
    <r>
      <rPr>
        <b/>
        <sz val="36"/>
        <color theme="1" tint="0.14999847407452621"/>
        <rFont val="Century Gothic"/>
        <family val="2"/>
      </rPr>
      <t xml:space="preserve"> REFORÇOS DOS TERMOS CONTRATUAIS ACORDADOS</t>
    </r>
  </si>
  <si>
    <t>Ainda não fazem a iniciativa, porém estão pretendendo utilizar o SFCoke no processo.</t>
  </si>
  <si>
    <t>Dividir os clientes por região e estabelecer um cronograma para reforço.</t>
  </si>
  <si>
    <t>Existe um processo formal de reforço anual dos termos contratuais acordados que define os responsáveis, mecanismos e rotinas.</t>
  </si>
  <si>
    <t>Existe um controle (YTD) dos clientes já contatados, planejados para contatar, tentativas sem sucesso e planos de ação.</t>
  </si>
  <si>
    <t>Existe um processo de envolver o vendedor nos casos em que a comunicação não é bem-sucedida.</t>
  </si>
  <si>
    <t>Há evidências de que 95% dos clientes (diretos e indiretos) foram contatados no corrente ano.</t>
  </si>
  <si>
    <t>Garantir a comunicação anual dos termos firmados no contrato de empréstimo com o cliente.</t>
  </si>
  <si>
    <t>relatório de cumprimento</t>
  </si>
  <si>
    <t>exemplos de execução</t>
  </si>
  <si>
    <t>Apresentado a pesquisa de validação dos termos contratuais onde é validado os principais termos, o processo será iniciado em 2023 - sem definição do mês (no momento só existe o processo formal)</t>
  </si>
  <si>
    <r>
      <t xml:space="preserve">#8: </t>
    </r>
    <r>
      <rPr>
        <b/>
        <sz val="36"/>
        <color theme="1" tint="0.14999847407452621"/>
        <rFont val="Century Gothic"/>
        <family val="2"/>
      </rPr>
      <t>MONITORAMENTO DE EQUIPAMENTOS COM VENDA ZERO</t>
    </r>
  </si>
  <si>
    <t>Possuem monitoramento de Venda Zero, entretanto estão atualizando a política.</t>
  </si>
  <si>
    <t>Atenção à descrição da definição dos níveis críticos, ações para reversão e responsáveis. Adicionar ao tracking o motivo padronizado para cada cliente</t>
  </si>
  <si>
    <t>.</t>
  </si>
  <si>
    <t>Há um tracking mensal dos equipamentos com venda zero considerando no mínimo 30 dias e outros 2 níveis críticos por tempo (ex.: 60 e 90 dias) a nível vendedor, assim como existe um processo formal que define os níveis críticos, responsáveis e ações para regularização em cada caso.</t>
  </si>
  <si>
    <t>O tracking inclui detalhamento a nível vendedor e há um acompanhamento mensal com seus supervisores, gerando um reporte de status de motivos para cada cliente.</t>
  </si>
  <si>
    <t>Há reuniões trimestrais dos motivos mais frequentes e das medidas tomadas para revertê-los.</t>
  </si>
  <si>
    <t>O processo se aplica a todos os clientes (diretos e indiretos) e a venda zero com um mínimo de 30 dias é inferior a 5% (YTD).</t>
  </si>
  <si>
    <t>Garantir que haja um procedimento de controle para equipamentos com venda zero por um período mínimo de 30 dias.</t>
  </si>
  <si>
    <t>Relatório mensal e processo formal</t>
  </si>
  <si>
    <t>Material e/ou ata da reunião trimestral</t>
  </si>
  <si>
    <t>possuem com 30, 60 e 90 dias</t>
  </si>
  <si>
    <t xml:space="preserve">com 90, 30, 60 dias, aparece cliente, vendedor e supervisor - mivro e macro </t>
  </si>
  <si>
    <t>Apresentado o tracking de acompanhamento, necessário inserir os motivos para cada cliente</t>
  </si>
  <si>
    <r>
      <t xml:space="preserve">#9: </t>
    </r>
    <r>
      <rPr>
        <b/>
        <sz val="36"/>
        <color theme="1" tint="0.14999847407452621"/>
        <rFont val="Century Gothic"/>
        <family val="2"/>
      </rPr>
      <t>VALIDAÇÃO DE EQUIPAMENTOS NO MERCADO</t>
    </r>
  </si>
  <si>
    <t>Vão iniciar uma pesquisa mensal na base de equipamentos (previsão para o fibal do ano é de 90%)</t>
  </si>
  <si>
    <t>Realizar pilotos e capacitar às equipes envolvidas com o processo.</t>
  </si>
  <si>
    <t>Existe um processo formal que estabelece a rotina de validação regular, os mecanismos, os responsáveis ​​e as metas.</t>
  </si>
  <si>
    <t>Validação mensal realizada ≥ 30% de todos os equipamentos no mercado.</t>
  </si>
  <si>
    <t>Validação mensal realizada ≥ 60% de todos os equipamentos no mercado.</t>
  </si>
  <si>
    <t>Validação mensal realizada ≥ 90% de todos os equipamentos no mercado.</t>
  </si>
  <si>
    <t>Confirmar um processo contínuo que monitore a presença dos equipamentos no mercado com uma frequência mínima mensal.</t>
  </si>
  <si>
    <t>Faz parte da rotina do vendedor no ato da realização do pedido via SF Coke. Visto o procedimento formal</t>
  </si>
  <si>
    <r>
      <t xml:space="preserve">#10: </t>
    </r>
    <r>
      <rPr>
        <b/>
        <sz val="36"/>
        <color theme="1" tint="0.14999847407452621"/>
        <rFont val="Century Gothic"/>
        <family val="2"/>
      </rPr>
      <t>CENSO DE EQUIPAMENTOS</t>
    </r>
  </si>
  <si>
    <t>Realizaram a pesquisa do censo em 72% dos equipamentos. Estão com uma iniativa de realizar a pesquisa no final do ano em toda a base para apresentar o resultado em novembro.</t>
  </si>
  <si>
    <t>Garantir que a pesquisa contemple 100% da base de clientes</t>
  </si>
  <si>
    <t>Existe uma política de censo e o mesmo foi concluído em 100% dos clientes (diretos e indiretos) e armazéns nos últimos 24 meses.</t>
  </si>
  <si>
    <t>Todas as irregularidades encontradas foram solucionadas (física ou administrativa) e há uma formalização do resultado final do censo.</t>
  </si>
  <si>
    <t>As perdas validadas representam menos de 2%.</t>
  </si>
  <si>
    <t>As perdas validadas representam menos de 1%.</t>
  </si>
  <si>
    <t>Assegurar a existência de um censo formal para fins contábeis.</t>
  </si>
  <si>
    <t>Política formal e relatório de cumprimento</t>
  </si>
  <si>
    <t>Reporte de cumprimento</t>
  </si>
  <si>
    <t>Existe o censo de 2021. o que não foi encontrado em 21, pretendem validar em 2022.</t>
  </si>
  <si>
    <t>Há um censo incluindo todos status e tratativas e uma formalização do do resultado final. Necessario adicionar as soluçoes para as irregularidades encontradas</t>
  </si>
  <si>
    <r>
      <t xml:space="preserve">#11: </t>
    </r>
    <r>
      <rPr>
        <b/>
        <sz val="36"/>
        <color theme="1" tint="0.14999847407452621"/>
        <rFont val="Century Gothic"/>
        <family val="2"/>
      </rPr>
      <t>GESTÃO DE RECUPERAÇÃO LEGAL</t>
    </r>
  </si>
  <si>
    <t>Não possuem processo formal, mas realizam notificação aos clientes com esse tipo de irregularidade. Possuem uma equipe própria - Operações Especiais -  para recolhimento negociando previamente com Comercial. Realizam o monitoramento nas redes, entretano não possuem taxas trimestrais de recuperação.</t>
  </si>
  <si>
    <t>Adicionar os responsáveis e açãos na política, além de: taxa de recuperação de ativos e não recuperação.</t>
  </si>
  <si>
    <t>Pires</t>
  </si>
  <si>
    <t>Existe um processo formal de recuperação de equipamentos que define os tipos de casos, critérios e responsáveis, bem como evidências das ações realizadas.</t>
  </si>
  <si>
    <t xml:space="preserve">Há uma equipe de negociação (própria ou terceiros) formalmente dedicada à recuperação judicial do EDF e há um relatório trimestral com a relação de todos os casos, ações tomadas e status (recuperados, não recuperados, revertidos, etc.). </t>
  </si>
  <si>
    <t>O relatório inclui casos e ações realizadas pelas vendas pela internet e o resultado trimestral da taxa de recuperação total.</t>
  </si>
  <si>
    <t>Existe um orçamento de investimento formalmente aprovado para criar reputação de governança no mercado (campanhas de comunicação, marketing, etc.).</t>
  </si>
  <si>
    <t>Desenvolver a reputação no mercado de que a Coca-Cola Company é rigorosa no controle de seus ativos.</t>
  </si>
  <si>
    <t>Metas pessoais formalizadas e/ou centro de custo aprovado e relatório trimestral</t>
  </si>
  <si>
    <t>Centro de custo aprovado</t>
  </si>
  <si>
    <t>é enviada um notificação judicial ao cliente</t>
  </si>
  <si>
    <t>Apresentaram o procedimento formal (fluxograma) onde é possível verificar as trataivas para casos de recolhimento em clientes que não estão permitindo esta medida, inclusive há ação judicial e empresas (VIPs) que particiapam das tetantaivas de recolhimento. Visto trackings mensais e acumulados</t>
  </si>
  <si>
    <t>há um relatiorio de ativos vendidos em redes sociais e conseguiram excluir os anuncios. Falta quanto equipos conseguiram trazer de volta.</t>
  </si>
  <si>
    <t>são feitas pesquisas na olx e facebook</t>
  </si>
  <si>
    <t>Apresentado uma nota fiscal designado para uma empresa responsável pela recuperação de coolers, além da aprovação do presidente</t>
  </si>
  <si>
    <r>
      <t xml:space="preserve">#12: </t>
    </r>
    <r>
      <rPr>
        <b/>
        <sz val="36"/>
        <color theme="1" tint="0.14999847407452621"/>
        <rFont val="Century Gothic"/>
        <family val="2"/>
      </rPr>
      <t>CONECTIVIDADE PARA CONTROLE</t>
    </r>
  </si>
  <si>
    <t>Estão realizando reuniões com fornecedores para ver como avanaçr, inclusive estão pretendendo desenvolver uma nuvem que permita a leitura dos diferentes tipos de controladores. Estão com a Wellington de utilizar um beacom deles para leitura (Monitor).</t>
  </si>
  <si>
    <t>Realizar os procedimentos de controle e monitoramento na base já lida.</t>
  </si>
  <si>
    <t>Existe um processo formal de controle de ativos por meio de conectividade que define os níveis de criticidade, responsáveis ​​e ações para regularização em cada caso, além de tracking mensal da localização.</t>
  </si>
  <si>
    <t>Há tracking semanal da localização dos equipamentos conectados (com mínimo de 1.000 EDFs ou 2,5% dos equipamentos no mercado), além da geração de planos de ação.</t>
  </si>
  <si>
    <t>Há um cálculo do valor gerado pela rotina e foi validado pela Área de Finanças.</t>
  </si>
  <si>
    <t>Os alertas são integrados à inteligência comercial e as ordens de pedidos são geradas automaticamente sendo direcionadas ao sistema dos executores.</t>
  </si>
  <si>
    <t>Garantir que o Fabricante esteja comprometido com uma rotina de conectividade para controlar a localização dos equipamentos.</t>
  </si>
  <si>
    <t>Processo formal e relatório mensal</t>
  </si>
  <si>
    <t>Relatório semanal e exemplos de execução</t>
  </si>
  <si>
    <t>Racional lógico, rotinas de revisão, lista de participantes e resultado do cálculo</t>
  </si>
  <si>
    <t>Mecanismo utilizado e exemplos de execução</t>
  </si>
  <si>
    <t>Estão buscando junto ao fornecedor uma ferramenta que permita a leitura de diferentes tipos de controladores.</t>
  </si>
  <si>
    <r>
      <t xml:space="preserve">#13: </t>
    </r>
    <r>
      <rPr>
        <b/>
        <sz val="36"/>
        <color theme="1" tint="0.14999847407452621"/>
        <rFont val="Century Gothic"/>
        <family val="2"/>
      </rPr>
      <t>POLÍTICA DE CONTROLE DE EQUIPAMENTOS</t>
    </r>
  </si>
  <si>
    <t>Possuem materiais que tratam os temas citados, entretanto não foi possível identificar que era um documento único.Estão atualizando a formalização dos processos.</t>
  </si>
  <si>
    <t>Unificar os dicumentos em um único.</t>
  </si>
  <si>
    <t>Existe um documento único com a política de controle que inclui as regras para autorização de movimentação no mercado com suas consequências em caso de descumprimento e rotinas de controle de venda zero.</t>
  </si>
  <si>
    <t>O documento único inclui também o processo regular de validação e censo de equipamentos.</t>
  </si>
  <si>
    <t>O documento único inclui também o processo de reforço anual das cláusulas contratuais e recuperação legall.</t>
  </si>
  <si>
    <t>Toda a equipe de EDF (própria e de terceiros) e Vendas (diretas e indiretas) foi treinada sobre o conteúdo da política no ano atual.</t>
  </si>
  <si>
    <t>Garantir a existência de uma política formal única de controle de equipamentos.</t>
  </si>
  <si>
    <t>Possuem o procedimento da venda zero, acrescentado iniciativas para a movimentação e suas regras</t>
  </si>
  <si>
    <t>Possuem o procedimento formal do censo anual e validação mensal com as tratativas e ações (inclusive casos de recusa de devolução)</t>
  </si>
  <si>
    <t>Adicionado a política o formato de recordação das clasulas contratuais. No documento há a menção sobre recuperação de ativos.</t>
  </si>
  <si>
    <r>
      <t xml:space="preserve">#1: </t>
    </r>
    <r>
      <rPr>
        <b/>
        <sz val="34"/>
        <color theme="1" tint="0.14999847407452621"/>
        <rFont val="Century Gothic"/>
        <family val="2"/>
      </rPr>
      <t>PROCESAMENTO DE PEDIDO DE INSTALAÇÃO E RECOLHIMENTO</t>
    </r>
  </si>
  <si>
    <t>Há um processo formal para movimentações incluindo instralação e recolhimento. Os clientes realizam uma assinatura digital validando a instalação.Tipo 4 = instalação, tipo 5 = troca técnica, tipo 27 = retirada</t>
  </si>
  <si>
    <t>Avançar no desenvolvimento de uma solução para o registro da posição negociada.</t>
  </si>
  <si>
    <t>Existe um processo formal de solicitação de instalação e recolhimento e todos os pedidos processados ​​chegam na Área de EDF consolidados em um único relatório, independentemente da origem (ex.: call center, sistema de vendas, whatsapp, etc.).</t>
  </si>
  <si>
    <t>O pedido de instalação inclui os parâmetros acordados no momento da negociação (ex.: posição definida) e existe validação por parte do proprietário do PDV (ex.: assinatura no pedido).</t>
  </si>
  <si>
    <t>O processo de registro no momento da solicitação é digitalizado.</t>
  </si>
  <si>
    <t>O cliente recebe uma notificação digital do status do equipamento em cada etapa.</t>
  </si>
  <si>
    <t>Garantir a qualidade e eficiência do processamento de pedidos para uma correta execução dos serviços de instalação e recolhimento.</t>
  </si>
  <si>
    <t>Processo formal e registro fora do sistema</t>
  </si>
  <si>
    <t>Mecanismo utilizado y Exemplos de ejecución</t>
  </si>
  <si>
    <t>As solicitações chegam no SAP e são criadas as notas.</t>
  </si>
  <si>
    <t>Já possui assinatura digital.</t>
  </si>
  <si>
    <r>
      <t xml:space="preserve">#2: </t>
    </r>
    <r>
      <rPr>
        <b/>
        <sz val="36"/>
        <color theme="1" tint="0.14999847407452621"/>
        <rFont val="Century Gothic"/>
        <family val="2"/>
      </rPr>
      <t>QUALIDADE DE SERVIÇO DE INSTALAÇÃO</t>
    </r>
  </si>
  <si>
    <t>Possuem uma norma com orientações de instalação, entretanto vão passar por um processo de atualização.</t>
  </si>
  <si>
    <t>Necessário verificar como é a autorização do PDV (Ex: assinatura digital...). Destacar principais critérios para a parceria entre cliente e Andina.</t>
  </si>
  <si>
    <t>Existe uma norma interna para a instalação dos equipamentos e o responsável pelo serviço tem acesso direto para consultas durante o trajeto.</t>
  </si>
  <si>
    <t>A norma deixa claro que o motorista não está autorizado a instalar o equipamento em uma posição do PDV diferente da indicada na solicitação que foi validado pelo proprietário do PDV.</t>
  </si>
  <si>
    <t>Existe um procedimento para destacar os termos-chave do comodato (ex: assinatura adicional nos pontos-chaves, nota de entrega, itens críticos destacados no contrato, script ou material a ser entregue etc.).</t>
  </si>
  <si>
    <t>Existe uma rotina de abastecer o EDF no dia da instalação.</t>
  </si>
  <si>
    <t>Garantir que os equipamentos sejam devidamente instalados no cliente.</t>
  </si>
  <si>
    <t>Processo formal e ferramenta de acesso ao documento</t>
  </si>
  <si>
    <t>Exemplo de execução</t>
  </si>
  <si>
    <t>Vamos checar em rota- norma de instalação</t>
  </si>
  <si>
    <t xml:space="preserve">Existe uma norma que proibe que o item seja instalado em local diferente da nota fiscal de empréstimo. </t>
  </si>
  <si>
    <t>Apresentado um checklist com as definições sinalizadas pelo instalador e assinadas pelo cliente. Possível verificar que há um folder com a enfatização da proibição da instalação do EDF em local diferente do negociado. A norma deixa claro sobre as regras de instalação no local negociado.</t>
  </si>
  <si>
    <t>No contrato de comodato não há o destaque dos termos chaves.</t>
  </si>
  <si>
    <t xml:space="preserve">Apresentado uma imagem com ênfase a parceria junto ao cliente em que é mencionada que a geladeira não pode ser invadida. Material entregue no momento da instalação. Oportunidade para adicionar outros termos chaves como por exemplo enfatizar a manutenção gratuita, volume mínimo, proibição de movimentação... </t>
  </si>
  <si>
    <r>
      <t xml:space="preserve">#3: </t>
    </r>
    <r>
      <rPr>
        <b/>
        <sz val="36"/>
        <color theme="1" tint="0.14999847407452621"/>
        <rFont val="Century Gothic"/>
        <family val="2"/>
      </rPr>
      <t>OTIMIZAÇÃO DO RECOLHIMENTO</t>
    </r>
  </si>
  <si>
    <t>Motivos mapeados para recolhimento: troca comercial e téc, cliente fechou, breakeven, cliente não quis, cliente adquiriu geladeira branca e Venda Zero. Realizam tracking de motivos por vendedor + orientação de renegociação.</t>
  </si>
  <si>
    <t>Elaborar o processo formal dos critérios para recolhimento. Ver a possibilidade de realizar análises % do quanto está sendo revertido em cada mês, para assim gerar iniciativas.</t>
  </si>
  <si>
    <t>Belluzzo e Bruna</t>
  </si>
  <si>
    <t>Há um tracking mensal dos equipamentos com possíveis casos de recolhimento com um mínimo de 3 níveis críticos (ex.: venda zero, fechamento do PDV, contaminação, breakeven, etc.), além de um processo formal que define os níveis de criticidade, responsáveis e ações para regularização em cada caso.</t>
  </si>
  <si>
    <t>Há um relatório atualizado pelos vendedores com as ações corretivas tomadas para cada caso e há tracking mensal para verificar a eficácia das ações (retiradas, não retiradas ou revertidas).</t>
  </si>
  <si>
    <t>Há treinamento semestral para 100% da equipe de Vendas sobre negociação para reverter possíveis casos de recolhimento.</t>
  </si>
  <si>
    <t>Existe um ranking mensal de vendedores com o índice de casos revertidos e/ou existe uma equipe de desenvolvedores dedicada exclusivamente à negociação para reversão dos casos.</t>
  </si>
  <si>
    <t>Garantir a existência de uma política de recolhimento de equipamentos e que ela está sendo cumprida.</t>
  </si>
  <si>
    <t>Ranking mensal, centro de custo aprovado e/ou metas pessoais formalizadas</t>
  </si>
  <si>
    <t>Atualiza semanalmente</t>
  </si>
  <si>
    <t>Já possuem os motivos de recolhimento mapeados.</t>
  </si>
  <si>
    <r>
      <t xml:space="preserve">#4: </t>
    </r>
    <r>
      <rPr>
        <b/>
        <sz val="36"/>
        <color theme="1" tint="0.14999847407452621"/>
        <rFont val="Century Gothic"/>
        <family val="2"/>
      </rPr>
      <t>TRACKING DE SLA DE INSTALAÇÃO</t>
    </r>
  </si>
  <si>
    <t>Possuem uma matriz de acordo com a região, canal e motivo em fase de teste</t>
  </si>
  <si>
    <t>Elaboração de um tracking que contemple a matriz proposta</t>
  </si>
  <si>
    <t>Existe una matriz de priorización con SLA que se empieza a medir a partir del momento del pedido del cliente y la misma está implementada.</t>
  </si>
  <si>
    <t>A matriz de priorização inclui pelo menos 2 critérios (ex.: região, segmento de clientes, quantidade de EDFs, programa de exclusividade, lista foco, etc.) e/ou os serviços são definidos para serem executados em 48 horas, além disso existe um tracking mensal de cumprimento dos tempos definidos.</t>
  </si>
  <si>
    <t>95% das instalações realizadas no trimestre estão de acordo com o SLA.</t>
  </si>
  <si>
    <t>Existem capabilities de utilização de rotas dinâmicas automáticas para instalação.</t>
  </si>
  <si>
    <t>Asegurar que las órdenes de instalación sean ejecutadas de acuerdo a criterios y tiempos definidos.</t>
  </si>
  <si>
    <t>Definição de priorización</t>
  </si>
  <si>
    <t>Definição da priorização e relatório mensal</t>
  </si>
  <si>
    <t>A matriz existe, mas ainda está em teste.</t>
  </si>
  <si>
    <t>Apresentada a matriz e verificado que há a medição do SLA a partir da abertura do chamado.</t>
  </si>
  <si>
    <r>
      <t xml:space="preserve">#5: </t>
    </r>
    <r>
      <rPr>
        <b/>
        <sz val="36"/>
        <color theme="1" tint="0.14999847407452621"/>
        <rFont val="Century Gothic"/>
        <family val="2"/>
      </rPr>
      <t>TRACKING DE SLA DE RECOLHIMENTO</t>
    </r>
  </si>
  <si>
    <t>Existe uma matriz de priorização com SLA que começa a ser mensurada a partir do momento em que o pedido de recolhimento é feito e está implementada.</t>
  </si>
  <si>
    <t>A matriz de priorização inclui pelo menos 2 critérios (ex.: região, risco de perda, segurança do equipamento, tipo de cliente, etc.) e/ou os serviços estão definidos para serem realizados em 48h, além disso existe um tracking mensal do cumprimento dos tempos definidos.</t>
  </si>
  <si>
    <t>80% dos recolhimentos realizados no trimestre estão de acordo com o SLA.</t>
  </si>
  <si>
    <t>Existem capabilities de utilização de rotas dinâmicas automáticas para recolhimento.</t>
  </si>
  <si>
    <t>Garantir que as ordens de retirada sejam executadas de acordo com critérios e tempos definidos.</t>
  </si>
  <si>
    <t>Definição da priorização</t>
  </si>
  <si>
    <t>Matriz em fase de teste. Ainda será implementada.</t>
  </si>
  <si>
    <t>Critérios: região, motivo e canal.</t>
  </si>
  <si>
    <r>
      <t xml:space="preserve">#6: </t>
    </r>
    <r>
      <rPr>
        <b/>
        <sz val="36"/>
        <color theme="1" tint="0.14999847407452621"/>
        <rFont val="Century Gothic"/>
        <family val="2"/>
      </rPr>
      <t>ANÁLISE DOS MOTIVOS DO MOVIMENTO</t>
    </r>
  </si>
  <si>
    <t>Realizam o controle e classificação por meio do SFCoke.
1ª porta  = cliente antigo sem EDF
cliente novo = cliente novo sem EDF
Cliente necessita EDSF adicional
Troca técnica
Troca comercial
Baixo volume
Venda zero</t>
  </si>
  <si>
    <t>Adicionar um controlde de valores investidos para cada motivo de movimentação</t>
  </si>
  <si>
    <t>Os motivos de todos os movimentos de instalação e recolhimento são registrados de acordo com uma classificação pré-definida.</t>
  </si>
  <si>
    <t>A classificação inclui pelo menos 5 dos critérios para instalação (1ª porta, EDF adicional, novo cliente, troca comercial, troca técnica ou eventos) e para recolhimento (venda zero, breakeven, fechamento de PDV, contaminação, consumo de energia, troca comercial, troca técnica mudança ou eventos), além disso existe um tracking mensal de seus motivos vs valores</t>
  </si>
  <si>
    <t>Há um ranking mensal por vendedor do índice de retorno comercial (EDFs com recolhimento por motivos comerciais vs EDFs na rota) e um tracking trimestral dos motivos de movimentos evitáveis ​​que é apresentado em reunião com a Área de Vendas para gerar planos de ação.</t>
  </si>
  <si>
    <t>Os custos dos movimentos por motivos comerciais são assumidos pela Área de Vendas.</t>
  </si>
  <si>
    <t>Assegurar que todos os movimentos estão sendo registrados, classificados, quantificados e monitorados.</t>
  </si>
  <si>
    <t>Motivos para classificação e registro no sistema</t>
  </si>
  <si>
    <t>Motivos de classificação, Registro no sistema e relatório mensal</t>
  </si>
  <si>
    <t>Ranking mensal, relatório trimestral e material e/ou ata da reunião trimestral</t>
  </si>
  <si>
    <t>Centro de custo/orçamento aprovado</t>
  </si>
  <si>
    <t>Realizam o controle e classificação por meio do SFCoke.
1ª porta  = cliente antigo sem EDF
cliente novo = cliente novo sem EDF
Cliente necessita EDSF adicional
Troca técnica
Troca comercial
Baixo volume</t>
  </si>
  <si>
    <t>Cada troca gera uma instalação e uma retirada. Possuem o motivo de cada movimentação. Necessário adicionar os custos envolvidos com cada critério de movimentação.</t>
  </si>
  <si>
    <r>
      <t xml:space="preserve">#7: </t>
    </r>
    <r>
      <rPr>
        <b/>
        <sz val="36"/>
        <color theme="1" tint="0.14999847407452621"/>
        <rFont val="Century Gothic"/>
        <family val="2"/>
      </rPr>
      <t>GESTÃO DA LISTA FOCO</t>
    </r>
  </si>
  <si>
    <t>A lista foco é atualizada a cada 2 - 3 meses e é disponibilizada via SF Coke.</t>
  </si>
  <si>
    <t>Descrever o processo formal de atualização da lista foco. Medir taxa de conversão e ver a possibilidade de criar algum certificado sobre reconhecimento das melhores performances, além de medir o tracking a nível vendedor.</t>
  </si>
  <si>
    <t>Nathalia</t>
  </si>
  <si>
    <t>Existe um processo formal de atualização da lista foco que inclui: critérios financeiros e de mercado e responsáveis com rotinas estabelecidas, além disso a lista foco é atualizada com frequência máxima semestral.</t>
  </si>
  <si>
    <t>A lista foco é distribuída a cada vendedor, fica disponível para consulta na rota e há um tracking mensal da conversão ao nível do vendedor.</t>
  </si>
  <si>
    <t>Há um ranking trimestral da conversão dos vendedores e um programa de reconhecimento para as melhores performances e um programa de reforço para as piores performances.</t>
  </si>
  <si>
    <t>Existe um mecanismo que sinaliza os clientes foco no handheld/smartphone do vendedor.</t>
  </si>
  <si>
    <t>Garantir que exista um processo de planificação com um output objetivo (lista foco), que oriente e priorize os esforços da equipe de Vendas para negociação de equipamentos.</t>
  </si>
  <si>
    <t>Processo formal e lista semestral</t>
  </si>
  <si>
    <t>Ferramenta para acesso ao material e relatório mensal</t>
  </si>
  <si>
    <t>Ranking trimestral, plano de programa e exemplos de execução</t>
  </si>
  <si>
    <t>Possuem lista foco atualizada a cada mês. (faltam formalizar) Os processos já possuem.</t>
  </si>
  <si>
    <t>A lista foco é distribuida via SF Coke.</t>
  </si>
  <si>
    <t>Não há incentivo financeiro, vão pensar em alguma forma de reconhecimento.</t>
  </si>
  <si>
    <t>Necessário somente entender se nos casos de orientação para potencial de intsalação há a indicação da meta por clientes (Ex: quantidfade de geladeiras). Atualmente há somente a menção a se o cliente é potencial ou não.</t>
  </si>
  <si>
    <r>
      <t xml:space="preserve">#8: </t>
    </r>
    <r>
      <rPr>
        <b/>
        <sz val="36"/>
        <color theme="1" tint="0.14999847407452621"/>
        <rFont val="Century Gothic"/>
        <family val="2"/>
      </rPr>
      <t>METAS DE INSTALAÇÃO ( NOVOS E USADOS)</t>
    </r>
  </si>
  <si>
    <t>Possuem a meta  de instalação  bruta e líquida  devidamente alinha com a Coca-Cola. Hoje o acompnhamento sobre meta de instalação é em relação a unidade (não são realizados a nível vendedor devido as zonas perigosas onde fica difício medir o quanto é arriscado instalar o equipamento). Atingiriam 59&amp; de intsalação vs a meta de 50%.</t>
  </si>
  <si>
    <t>Ver análise de meta vs realizados pelas áreas e como está a relação de instalação por vendedor em cada unidade.</t>
  </si>
  <si>
    <t>Há metas mensais de instalação bruta e líquida de equipamentos novos e usados ​​definidos para todo o ano, bem como o tracking mensal.</t>
  </si>
  <si>
    <t>O tracking é compartilhado em reunião mensal entre a Área de EDF e de Vendas e há metas mensais de instalação definidas por vendedor com tracking mensal da performance vs meta.</t>
  </si>
  <si>
    <t>As metas de instalação líquida estão sendo alcançadas (YTD).</t>
  </si>
  <si>
    <t>Há evidências de um programa de reconhecimento contínuo para vendedores com o melhor desempenho de instalação.</t>
  </si>
  <si>
    <t>Garantir o comprometimento da Área de Vendas com a meta de instalação de equipamentos.</t>
  </si>
  <si>
    <t>Metas formalizadas e relatório mensal</t>
  </si>
  <si>
    <t>Material e/ou ata da reunião, metas formalizadas e relatório mensal</t>
  </si>
  <si>
    <t>Possui a lista foco, que contem o quanto falta insatalar.</t>
  </si>
  <si>
    <t>A meta de instalação foi validada com a CCIL, mas o que é passado para o vendedor é somente a bruta.</t>
  </si>
  <si>
    <t>A pontuação cumpre aborda sobre metas mensais definidas por vendedor, o caso é que a Andina não possui isso, justamente pelo fato de que boa parte do território dos vendedores está em área de risco, logo não é possível direcionar uma quantidade mínima de equipamentos por clientes. A meta existente é referente a uma quantidade mínima de geladeiras por gerência e esse numero é distribuído por vendedor.</t>
  </si>
  <si>
    <t>Estão com 14 pontos a mais.</t>
  </si>
  <si>
    <t>Verificado o programa de reconhecimento.</t>
  </si>
  <si>
    <r>
      <t xml:space="preserve">#9: </t>
    </r>
    <r>
      <rPr>
        <b/>
        <sz val="36"/>
        <color theme="1" tint="0.14999847407452621"/>
        <rFont val="Century Gothic"/>
        <family val="2"/>
      </rPr>
      <t>NEGOCIAÇÃO DE EQUIPAMENTOS</t>
    </r>
  </si>
  <si>
    <t>Possuem ferramentas com técnica de negociação e realizam treinamentos periódicas. A matriz é voltada para técnicas do RED.</t>
  </si>
  <si>
    <t>Verificar a possibilidade de adicionar as ferremntas de negociação noa app do vendedor (RED). Ver a possibilidade de adicionar avaliação com base em técnicas de negociação.</t>
  </si>
  <si>
    <t>Nathalia e Marcus</t>
  </si>
  <si>
    <t>Há ferramentas (ex.: vídeos, materiais impressos, apps, selling stories, etc.) para negociação de equipamentos e as mesmas se encontram disponibilizadas para a equipe de Vendas para consulta na rota.</t>
  </si>
  <si>
    <t>Há treinamento trimestral sobre técnicas de negociação (ex.: retorno em vendas, argumentos de espaço, economia de energia, exclusividade, etc.) com toda a equipe de Vendas.</t>
  </si>
  <si>
    <t>Existe uma matriz de capacitação para vendedores que inclui: treinamento, notas obtidas, data de validade e nota geral para cada vendedor.</t>
  </si>
  <si>
    <t>Há uma equipe de desenvolvedores dedicada exclusivamente à negociação de equipamentos e/ou ferramentas com uso de tecnologia para negociação (ex. realidade virtual para espaço físico).</t>
  </si>
  <si>
    <t>Ter um processo de capacitação que garanta uma negociação de qualidade.</t>
  </si>
  <si>
    <t>Material Aplicado e ferramenta de acesso ao material</t>
  </si>
  <si>
    <t>Matriz de capacitação</t>
  </si>
  <si>
    <t>Centro de custo aprovado e/ou metas pessoais formalizadas e mecanismo usado</t>
  </si>
  <si>
    <t>Possuem um material orientativo, entretanto o mesmo é muito estenso e contempla outros temas. Tornando mais difícil o aceso a parte destinada a negociação de EDFs.</t>
  </si>
  <si>
    <t>Há materias compartilhados no grupo no whatssapp e atraves do aplicativo no qual reforça a importancia das geladeiras para seus clientes.</t>
  </si>
  <si>
    <t>É compartilhado na matinal o treinamento de tecnicas de negociação para a equipe de vendas. Possuem lista de presença.</t>
  </si>
  <si>
    <t>A matriz é voltada para técnicas do RED.</t>
  </si>
  <si>
    <r>
      <t xml:space="preserve">#10: </t>
    </r>
    <r>
      <rPr>
        <b/>
        <sz val="36"/>
        <color theme="1" tint="0.14999847407452621"/>
        <rFont val="Century Gothic"/>
        <family val="2"/>
      </rPr>
      <t>ATRATIVIDADE</t>
    </r>
  </si>
  <si>
    <t>Realizado um treinamento em janeiro sobre os pilares de execução. Possuem um Power Bi de acompanhamento do volume incremental devida das instações (minimercado)</t>
  </si>
  <si>
    <t xml:space="preserve">Elaborara um material mais resumindo / funcional com as principais definições para atratividade de acordo com a orientação da pontuação.Documentar a execução dos EDFs e ver o estudo de volume para todo o mercado. </t>
  </si>
  <si>
    <t>Sérgio</t>
  </si>
  <si>
    <t>Existe uma definição formal para atratividade que inclui: iluminação, invasão, precificação, limpeza e EDF plugado, a qual está disponível para a equipe de Vendas na rota.</t>
  </si>
  <si>
    <t>Existe entrenamiento Há treinamento semestral sobre atratividade para 100% da equipe de Vendas. sobre atractividad para 100% del equipo de Ventas.</t>
  </si>
  <si>
    <t>A execução dos equipamentos é documentada na rotina básica do vendedor como etapa obrigatória.</t>
  </si>
  <si>
    <t>O Fabricante possui um estudo do volume incremental gerado pelos equipamentos instalados no mercado por porta adicional, canal e segmento.</t>
  </si>
  <si>
    <t>Garantir a atratividade necessária dos equipamentos para maximizar o impulso de compra dos consumidores.</t>
  </si>
  <si>
    <t>Racional lógico do estudo e resultado do cálculo</t>
  </si>
  <si>
    <t>Possui um material que engloba esses temas. Visto em rota que o vendedor possui um guia estenso com as definições gerais sobre equipamentos, entretanto não foi possível localizar o tema da atratividade de forma rápida.</t>
  </si>
  <si>
    <t>Apresentado um material totalmente dedicado a atratividade. Disponível no IRED (app de vendas)</t>
  </si>
  <si>
    <t>Realizado um treinamento em janeiro sobre os pilares de execução</t>
  </si>
  <si>
    <t>Possuem BI  de acompanhamento do volume incremental devido as instalações ( mini mercado) querem abrir para rota.</t>
  </si>
  <si>
    <r>
      <t xml:space="preserve">#11: </t>
    </r>
    <r>
      <rPr>
        <b/>
        <sz val="36"/>
        <color theme="1" tint="0.14999847407452621"/>
        <rFont val="Century Gothic"/>
        <family val="2"/>
      </rPr>
      <t>INTELIGÊNCIA DE MERCADO</t>
    </r>
  </si>
  <si>
    <t>Realizam análise de cobertura vertical  e horizontal por canal em cada região de atuação.</t>
  </si>
  <si>
    <t>Adicionar a segmentação de acordo com o tamanho do cliente</t>
  </si>
  <si>
    <t>Belluzzo e Nathalia</t>
  </si>
  <si>
    <t>Há um tracking trimestral da cobertura horizontal (número de clientes com EDFs vs total de clientes do Fabricante) por canal e segmento (diamante, ouro, prata e bronze).</t>
  </si>
  <si>
    <t>Há um tracking trimestral da cobertura vertical (número de EDFs em clientes com EDFs vs. total de clientes com EDFs) por canal e por segmento (diamante, ouro, prata e bronze).</t>
  </si>
  <si>
    <t>Existe um tracking trimestral de SOVI Gelado KO no canal tradicional por segmento (diamante, ouro, prata e bronze).</t>
  </si>
  <si>
    <t>O tracking trimestral inclui dados da concorrência (ex.: cobertura, SOVI Gelado, etc.), assim como existem planos de ação sendo gerados para o crescimento da presença KO.</t>
  </si>
  <si>
    <t>Assegurar uma gestão completa da informação para entendimento da presença dos equipamentos do Fabricante no mercado.</t>
  </si>
  <si>
    <t>Existe uma base de dados para definir medio e longo prazo, ver percentual de cobertura potencia. e total. Não tem por segmento.</t>
  </si>
  <si>
    <r>
      <t xml:space="preserve">#12: </t>
    </r>
    <r>
      <rPr>
        <b/>
        <sz val="36"/>
        <color theme="1" tint="0.14999847407452621"/>
        <rFont val="Century Gothic"/>
        <family val="2"/>
      </rPr>
      <t>GESTÃO DE EQUIPAMENTOS DO CLIENTE</t>
    </r>
  </si>
  <si>
    <t>Há um material orientativo por canal.</t>
  </si>
  <si>
    <t>Ver análise mensal de SOVI nas geladeiras dos clientes (canais com essa recomendação)</t>
  </si>
  <si>
    <t>Nathalia e Sérgio</t>
  </si>
  <si>
    <t>Existe um direcionamento de execução KO no equipamento do cliente e o mesmo faz parte da FDS do Fabricante.</t>
  </si>
  <si>
    <t>Há um tracking mensal de análise de SOVI KO em equipamentos do cliente.</t>
  </si>
  <si>
    <t>Há treinamento semestral sobre negociação de espaço gelado do cliente para 100% da equipe de Vendas e o material fica disponível para ser consultado na rota.</t>
  </si>
  <si>
    <t>SOVI KO no equipamento do cliente (YTD) é maior que Share KO NARTD (YTD) - todos os canais.</t>
  </si>
  <si>
    <t>Garantir que haja um processo de monitoramento da presença KO nos espaços gelados de propriedade do PDV.</t>
  </si>
  <si>
    <t>Material de treinamento, lista de participantes e ferramenta de acesso ao material</t>
  </si>
  <si>
    <t>Existe um material para cada tipo de canal.</t>
  </si>
  <si>
    <t xml:space="preserve">O item aborda sobre análise de SOVI KO em geladeiras do cliente, pelo título do gráfico nos da impressão que está sendo considerado todo o SOVI gelado, ou seja, está considerando não somente a geladeira do cliente como também as geladeiras KO. Logo seria necessário filtrar esse resultado para corresponder a exigência da pontuação. Além disso, a pontuação especifica que haja um tracking mensal, assim teríamos que ter essa visibilidade ao longo do ano (não somente dos últimos 3 meses)
</t>
  </si>
  <si>
    <r>
      <t xml:space="preserve">#13: </t>
    </r>
    <r>
      <rPr>
        <b/>
        <sz val="36"/>
        <color theme="1" tint="0.14999847407452621"/>
        <rFont val="Century Gothic"/>
        <family val="2"/>
      </rPr>
      <t>POLÍTICA DE INVERSÃO DE STILLS</t>
    </r>
  </si>
  <si>
    <t>Toda FDS possui orientação para sltills</t>
  </si>
  <si>
    <t>Incluir investimento e quantidades de equipamentos projetados.</t>
  </si>
  <si>
    <t>Patrícia Miranda e Bruna</t>
  </si>
  <si>
    <t>Há uma FDS por canal para direcionar a execução de SOVI Gelado de Stills.</t>
  </si>
  <si>
    <t>Há investimentos para plotagem de equipamentos e/ou compra de equipamentos Stills.</t>
  </si>
  <si>
    <t>Há controle trimestral da cobertura horizontal de equipamentos Stills (quantidade de clientes com EDFs Stills vs total de clientes do Fabricante).</t>
  </si>
  <si>
    <t>SOVI Gelado Stills KO (YTD) maior que o Share Valor Stills (YTD).</t>
  </si>
  <si>
    <t>Assegurar que existe uma política de investimento constante e regular da Stills.</t>
  </si>
  <si>
    <t>Relatório de cumprimento (fonte: Nielsen)</t>
  </si>
  <si>
    <t>Possuem um comparativo vs o outro.</t>
  </si>
  <si>
    <r>
      <t xml:space="preserve">#14: </t>
    </r>
    <r>
      <rPr>
        <b/>
        <sz val="36"/>
        <color theme="1" tint="0.14999847407452621"/>
        <rFont val="Century Gothic"/>
        <family val="2"/>
      </rPr>
      <t>CONECTIVIDADE PARA MERCADO</t>
    </r>
  </si>
  <si>
    <t>Existe um processo formal de monitoramento da execução no mercado por meio de conectividade que define os níveis de criticidade, os responsáveis ​​e as ações para regularização em cada caso, assim como há um tracking mensal das métricas de execução.</t>
  </si>
  <si>
    <t>Há um tracking mensal de monitoramento das métricas de execução que inclui EDFs plugados, luzes, abertura de portas em horário de abastecimento dos equipamentos conectados (com no mínimo 1000 EDFs ou 2,5% de equipamentos no mercado), assim como há planos de ação sendo gerados.</t>
  </si>
  <si>
    <t>Há um tracking mensal de abertura de portas vs. vendas, bem como planos de ação para lidar com possíveis problemas de invasão.</t>
  </si>
  <si>
    <t>A equipe de Vendas tem acesso a informações de abertura de portas durante o trajeto para ter um diálogo de valor com o cliente e/ou o Fabricante possui projetos de inputs adicionais (ex. peso, câmera, etc.) com análise desses dados.</t>
  </si>
  <si>
    <t>Garantir que o Fabricante esteja comprometido com uma rotina de conectividade de mercado.</t>
  </si>
  <si>
    <t>Relatório mensal e exemplos de execução</t>
  </si>
  <si>
    <t>Ferramentas de comunicação para vendas e/ou exemplos de execução</t>
  </si>
  <si>
    <t>Apresentaram a política de conectividade. Referente ao tema de execução de mercado é possível observar que a política fala a respeito da abertura de portas, no entanto não chega a especificar os níveis de criticidade (o que fazer se o EDF tiver baixa abertura de porta ou alta? Em quanto tempo? Responsáveis?). Sobre tracking é apresentado a informação de quantidade média de abertura de portas e é possível observar uma grande variação entre os períodos, logo com os níveis de criticidade é possível entender os principais motivadores (invasão, baixo breakeven, venda zero...).</t>
  </si>
  <si>
    <r>
      <t xml:space="preserve">#15: </t>
    </r>
    <r>
      <rPr>
        <b/>
        <sz val="36"/>
        <color theme="1" tint="0.14999847407452621"/>
        <rFont val="Century Gothic"/>
        <family val="2"/>
      </rPr>
      <t>SUSTENTABILIDADE NO MERCADO</t>
    </r>
  </si>
  <si>
    <t>Bruna e Pires</t>
  </si>
  <si>
    <t>O Fabricante possui material de boas práticas de sustentabilidade através do uso adequado do equipamento e foi validado pela Área de Meio Ambiente e/ou especialistas.</t>
  </si>
  <si>
    <t>Há uma comunicação bimestral (ex.: e-mails, script do vendedor, folders, etc.) com o material sobre práticas de sustentabilidade para 100% dos clientes com equipamentos.</t>
  </si>
  <si>
    <t>Há um tracking mensal do consumo de energia e abertura de portas dos equipamentos conectados, bem como planos de ação com o objetivo de auxiliar os clientes a consumir menos energia e/ou adequar o tamanho do equipamento à sua usabilidade.</t>
  </si>
  <si>
    <t>Existem comunicações personalizadas por cliente que incluem métricas de sustentabilidade com aconselhamento para uma melhor gestão da equipamentos no PDV.</t>
  </si>
  <si>
    <t>Desenvolver um programa de colaboração entre o Fabricante e o cliente com rotinas de envolvimento para o cumprimento da política de sustentabilidade.</t>
  </si>
  <si>
    <t>Ferramentas de comunicação bimestral com o cliente</t>
  </si>
  <si>
    <t>Ferramentas de comunicação com o cliente</t>
  </si>
  <si>
    <r>
      <t xml:space="preserve">#1: </t>
    </r>
    <r>
      <rPr>
        <b/>
        <sz val="36"/>
        <color theme="1" tint="0.14999847407452621"/>
        <rFont val="Century Gothic"/>
        <family val="2"/>
      </rPr>
      <t>PROCESSAMENTO DO PEDIDO DE MANUTENÇÃO</t>
    </r>
  </si>
  <si>
    <t xml:space="preserve">Possuem um processo formal e todos os chamados  são consolidados no sistema, além de serem informados no app Cooler </t>
  </si>
  <si>
    <t>Feita a atualização da pontuação conforme observado no diagnóstico presencial</t>
  </si>
  <si>
    <t>Existe um processo formal de solicitação da manutenção e todos os pedidos processados chegam à Área de EDF consolidados em um único relatório, independentemente da origem (ex.: call center, sistema de vendas, whatsapp, etc.).</t>
  </si>
  <si>
    <t>A solicitação inclui o registro do problema relatado pelo cliente de acordo com uma classificação pré-definida.</t>
  </si>
  <si>
    <t>Existe um canal digital alternativo disponível para o cliente (whatsapp, website, bot, app, etc) para abertura de chamado.</t>
  </si>
  <si>
    <t>O cliente recebe digitalmente notificação sobre status do EDF em cada etapa</t>
  </si>
  <si>
    <t>Assegurar a qualidade e eficiência do processamento dos pedidos para uma correta execução dos chamados de manutenção</t>
  </si>
  <si>
    <t>Processo formal e registro no sistema</t>
  </si>
  <si>
    <t>Material aplicado e registro no sistema</t>
  </si>
  <si>
    <t>•Processo formal de manutenção de equipamentos. •Pedidos podem ser solicitados via Nina (whatsapp), 0800 e todos chegam no sistema CRM, são criadas as ordens dentro do SAP e direcionado para o App dos mecânicos. •Ordens são baixadas no App e retornaram para o SAP</t>
  </si>
  <si>
    <r>
      <t>•</t>
    </r>
    <r>
      <rPr>
        <sz val="14"/>
        <color rgb="FF000000"/>
        <rFont val="Calibri"/>
        <family val="2"/>
        <scheme val="minor"/>
      </rPr>
      <t xml:space="preserve">Motivos são cadastrados em um catálogo e registrados no CRM conforme abertura do chamado, relato do cliente  </t>
    </r>
  </si>
  <si>
    <t>Apresentado um sistema de abertura de chamados via whatsapp para toda a Andina</t>
  </si>
  <si>
    <r>
      <t xml:space="preserve">#2: </t>
    </r>
    <r>
      <rPr>
        <b/>
        <sz val="36"/>
        <color theme="1" tint="0.14999847407452621"/>
        <rFont val="Century Gothic"/>
        <family val="2"/>
      </rPr>
      <t>SOLUÇÃO REMOTA</t>
    </r>
  </si>
  <si>
    <t>Não obtiveram sucesso no processo de solução remota, vão reestabelecer o processo.</t>
  </si>
  <si>
    <t>Verificar exemplos na bilbioteca sobre o processo.</t>
  </si>
  <si>
    <t>Necessario reimplementar a dinâmica de solução remota.</t>
  </si>
  <si>
    <t>Há um processo formal de solução remota de falhas do equipamento, que define responsáveis, mecanismos (ex.: call center, app, website, etc.) e script das perguntas pré-definidas com possíveis soluções, assim como há registro de todos os chamados solucionados.</t>
  </si>
  <si>
    <t>Há um tracking trimestral que inclui o indicador de solução remota (chamados solucionados vs total de chamados recebidos) e o controle das soluções mais frequentes.</t>
  </si>
  <si>
    <t>Existe análise semestral das falhas mais frequentes não solucionadas remotamente, o script é elaborado junto à área de EDF em base a este acompanhamento e pelo menos 2 vezes ao ano existe uma revisão das perguntas com o objetivo de melhorar o indicador.</t>
  </si>
  <si>
    <t>Há automatização do processo de solução remota (ex.: whatsapp robot) e/ou o 5% de todos os chamados são solucionados remotamente (YTD).</t>
  </si>
  <si>
    <t>Garantir a otimização da atenção ao cliente e gestão da produtividade, minimizando os casos de visita técnica desnecessária.</t>
  </si>
  <si>
    <t xml:space="preserve">Reporte semestral, rotinas semestrais de revisão e lista de participantes </t>
  </si>
  <si>
    <t>Mecanismo utilizado, exemplos de execução e reporte de cumprimento (fonte: E2E)</t>
  </si>
  <si>
    <t>Enviar exemplos de soluções remotas.</t>
  </si>
  <si>
    <t>Proposta: utilizar o whatsapp robo para propor uma solução remota no momento de abertura do chamado</t>
  </si>
  <si>
    <r>
      <t xml:space="preserve">#3: </t>
    </r>
    <r>
      <rPr>
        <b/>
        <sz val="36"/>
        <color theme="1" tint="0.14999847407452621"/>
        <rFont val="Century Gothic"/>
        <family val="2"/>
      </rPr>
      <t>QUALIDADE DOS SERVIÇOS NO PDV</t>
    </r>
  </si>
  <si>
    <t xml:space="preserve">Possuem orientações de manutenção no PDV dentro da política e manutenção (acesso via app). </t>
  </si>
  <si>
    <t>Há uma norma interna para manutenção de equipamentos e o responsável do serviço tem acesso direto para consultas durante a rota.</t>
  </si>
  <si>
    <t>O técnico documenta a duração da manutenção e as peças utilizadas em todos os casos, assim como existe uma rotina que garanta que só se encerra a solicitação uma vez que o serviço tenha sido finalizado (ex.: assinatura do cliente, geolocalização do técnico, etc.).</t>
  </si>
  <si>
    <t>Há rotinas (ex.: script do técnico, folheto, gravação telefónica, etc.) que demonstram ao cliente a diferenciação dos serviços realizados (ex.: custo zero, qualidade do serviço, etc.).</t>
  </si>
  <si>
    <t>Existe uma rotina que garanta ao técnico a disponibilidade das peças (ex.: estoque mínimo de segurança por técnico, oficina móvel, etc.), eliminando a necessidade de retornar à oficina mais de uma vez por semana para atualizar o seu estoque.</t>
  </si>
  <si>
    <t>Avaliar a eficiência dos procedimentos de manutenção do equipamento no PDV</t>
  </si>
  <si>
    <t>Registro en el sistema y Exemplos de ejecución</t>
  </si>
  <si>
    <t xml:space="preserve">Existe um comunicado que será a partir de setembro para equipamentos não localizados, invadidos... </t>
  </si>
  <si>
    <t>Todo o procedimento é realizado via pp do técncio, onde há devido registro do serviço realizado.</t>
  </si>
  <si>
    <t>A orientação ao cliente está dentro da OS como prática obrigatória</t>
  </si>
  <si>
    <t xml:space="preserve"> </t>
  </si>
  <si>
    <r>
      <t xml:space="preserve">#4: </t>
    </r>
    <r>
      <rPr>
        <b/>
        <sz val="36"/>
        <color theme="1" tint="0.14999847407452621"/>
        <rFont val="Century Gothic"/>
        <family val="2"/>
      </rPr>
      <t>QUALIDADE DOS SERVIÇOS NA OFICINA</t>
    </r>
  </si>
  <si>
    <t>A autorização é por meio do Supervisor de equipamentos e gerente de equipamentos via SAP.</t>
  </si>
  <si>
    <t>Permitir que o aprovador identifique quais são os motivos que levam a troca técnica para assim verificar se irá aprovar ou não. Adicionar a árvore de decisão à política e a projeção da vida útil aos critérios de avaliação.</t>
  </si>
  <si>
    <t>Todas as trocas de equipamentos (comerciais ou técnicos) estão sujeitas a aprovação da Área de EDF (ex.: motivos predefinidos, workflow de aprovação do representante de EDF, etc.).</t>
  </si>
  <si>
    <t>Existe uma definição formal de critérios de avaliação para o tipo de serviço na oficina (limpeza, manutenção ou descarte), os equipamentos são classificados individualmente e existe algum critério de segregação física no armazém (ex.: tipo de manutenção, rotação, etc.).</t>
  </si>
  <si>
    <t>Os critérios de avaliação para o tipo de serviço na oficina incluem o refurbishment e existe uma norma formal da sua execução que garante o aspecto e funcionamento como a de um novo equipamento e inclui a projeção da sua vida útil.</t>
  </si>
  <si>
    <t>Existe automatização dos processos para a realização do serviço na oficina (exemplo; elevador, cinta, etc.)</t>
  </si>
  <si>
    <t>Garantir a eficiência dos processos de manutenção na oficina.</t>
  </si>
  <si>
    <t>Workflow de aprovação e motivos de classificação</t>
  </si>
  <si>
    <t>Processo formal, layout do armazém e exemplos de execução</t>
  </si>
  <si>
    <t>A avaliação é feita pelo próprio técnico, quando ele gera o pedido, já vai direto para o SAP. Ele não informa o motivo da troca técnica</t>
  </si>
  <si>
    <t>Verificado que existe segmentação dos equipamentos, entretanto não é possível identificar uma classificação individual</t>
  </si>
  <si>
    <t>Estão avanaçando por meio de sinalização em cores. Verde = estética, Vermelho = Mais crítico (elétrica), Parcial = Menos crítico. A árvore de decisão enconr-ase anexada a política</t>
  </si>
  <si>
    <t>Para a troca de compressores foi fixado um aumento de 2,5 a 3 anos na vida útil do equipamento. Adicionada toda a metodologia dos cálculos</t>
  </si>
  <si>
    <r>
      <t xml:space="preserve">#5: </t>
    </r>
    <r>
      <rPr>
        <b/>
        <sz val="36"/>
        <color theme="1" tint="0.14999847407452621"/>
        <rFont val="Century Gothic"/>
        <family val="2"/>
      </rPr>
      <t>TRACKING DE SLA DE MANUTENÇÃO</t>
    </r>
  </si>
  <si>
    <t>A matriz é dividida em fucional, estética e segurança.</t>
  </si>
  <si>
    <t>Adicionar outro critério para definir a priorização</t>
  </si>
  <si>
    <t>Existe uma matriz de priorização com SLA que se começa a medir a partir do momento de abertura do pedido do cliente e a mesma está sendo implementada.</t>
  </si>
  <si>
    <t>A matriz de priorização inclui no mínimo 2 critérios (região, tipo de manutenção, segmento do cliente, quantidade de EDFs, programa de exclusividade, etc.) e/ou os serviços estão definidos para serem executados em 48h, assim como há um tracking mensal de cumprimento dos tempos definidos.</t>
  </si>
  <si>
    <t>O 95% dos serviços realizados no trimestre estão de acordo com o SLA (próprio ou terceiro)</t>
  </si>
  <si>
    <t>Há capabilities de utilização de rotas dinâmicas automáticas para os técnicos</t>
  </si>
  <si>
    <t>Assegurar que as ordens de manutenção sejam executadas de acordo a critérios e tempos definidos.</t>
  </si>
  <si>
    <t>Possui uma matriz apenas com os fatores de risco.</t>
  </si>
  <si>
    <r>
      <t xml:space="preserve">#6: </t>
    </r>
    <r>
      <rPr>
        <b/>
        <sz val="36"/>
        <color theme="1" tint="0.14999847407452621"/>
        <rFont val="Century Gothic"/>
        <family val="2"/>
      </rPr>
      <t>ANÁLISE DE MOTIVOS DE MANUTENÇÃO</t>
    </r>
  </si>
  <si>
    <t>Dentro da rotina do técnico há a atualização do motivo de manutenção diretamente no app.</t>
  </si>
  <si>
    <t>Identicar quais são os maiores motivos que poderiam gerar uma menor quantidade de chamados (possíveis ações de melhoria)</t>
  </si>
  <si>
    <t>Há rotina de validação do problema real pelo técnico e se registra devidamente o motivo final para todos os chamados de acordo a uma classificação pré-definida.</t>
  </si>
  <si>
    <t>A classificação inclui pelo menos 5 dos critérios para manutenção (reparação interior, compressor, condensador, porta, elétrico, controlador, ventilador, gás, luz ou manutenção preventiva), assim como há um tracking mensal dos motivos vs. quantidades.</t>
  </si>
  <si>
    <t>Existe rotina trimestral para análise dos motivos de manutenção por modelo, fornecedor e idade, assim como planos de ação sendo elaborados</t>
  </si>
  <si>
    <t>Há reuniões trimestrais com o fornecedor maioritário para planos de ação destinados a reduzir os serviços de manutenção.</t>
  </si>
  <si>
    <t>Identificar se há um processo formal de classificação de chamados de manutenção e análise continua para minimização de casos futuros</t>
  </si>
  <si>
    <t>Motivos de classificação e registro no sistema</t>
  </si>
  <si>
    <t>Motivos de classificação, registro no sistema e relatório mensal</t>
  </si>
  <si>
    <t>Relatório trimestral e material y/o ata de reunião trimestral</t>
  </si>
  <si>
    <t>Possuem as classificações dos motivos segundo a orientação da pontuaçõa.</t>
  </si>
  <si>
    <t>Há rotina mensal de acompanhamentos dos motivos + planos de ação elaborados</t>
  </si>
  <si>
    <t>Verificado um alinhamento com CEPG sobre como podem evitar a falta de manutenção de vido a falta de peças.</t>
  </si>
  <si>
    <r>
      <t xml:space="preserve">#7: </t>
    </r>
    <r>
      <rPr>
        <b/>
        <sz val="36"/>
        <color theme="1" tint="0.14999847407452621"/>
        <rFont val="Century Gothic"/>
        <family val="2"/>
      </rPr>
      <t>PRODUTIVIDADE E CAPACITAÇÃO DOS TECNICOS</t>
    </r>
  </si>
  <si>
    <t>Possuem acompanhamento separado das métricas: SLA, troca técnica e reicidência</t>
  </si>
  <si>
    <t>Necessário consolidar as informaçãoes em uma única métrica mensal de medição da produtividade</t>
  </si>
  <si>
    <t>Janeiro</t>
  </si>
  <si>
    <t>Há um tracking mensal de performance por técnico (próprio ou terceiro) que utiliza pelo menos 2 das seguintes métricas operacionais: reincidência anual, % de serviços realizados no PDV vs troca técnica e cumprimento do SLA</t>
  </si>
  <si>
    <r>
      <t xml:space="preserve">Há um tracking mensal de performance por técnico (próprio ou terceiro) que utiliza as seguintes métricas operacionais: </t>
    </r>
    <r>
      <rPr>
        <sz val="14"/>
        <color rgb="FFFF0000"/>
        <rFont val="Century Gothic"/>
        <family val="2"/>
      </rPr>
      <t>reincidência</t>
    </r>
    <r>
      <rPr>
        <sz val="14"/>
        <color theme="1" tint="0.14999847407452621"/>
        <rFont val="Century Gothic"/>
        <family val="2"/>
      </rPr>
      <t xml:space="preserve"> </t>
    </r>
    <r>
      <rPr>
        <sz val="14"/>
        <color rgb="FFFF0000"/>
        <rFont val="Century Gothic"/>
        <family val="2"/>
      </rPr>
      <t>anual</t>
    </r>
    <r>
      <rPr>
        <sz val="14"/>
        <color theme="1" tint="0.14999847407452621"/>
        <rFont val="Century Gothic"/>
        <family val="2"/>
      </rPr>
      <t>,</t>
    </r>
    <r>
      <rPr>
        <sz val="14"/>
        <color rgb="FFFF0000"/>
        <rFont val="Century Gothic"/>
        <family val="2"/>
      </rPr>
      <t xml:space="preserve"> % de serviços realizados no PDV vs troca técnica</t>
    </r>
    <r>
      <rPr>
        <sz val="14"/>
        <color theme="1" tint="0.14999847407452621"/>
        <rFont val="Century Gothic"/>
        <family val="2"/>
      </rPr>
      <t xml:space="preserve"> e </t>
    </r>
    <r>
      <rPr>
        <sz val="14"/>
        <color rgb="FFFF0000"/>
        <rFont val="Century Gothic"/>
        <family val="2"/>
      </rPr>
      <t>cumprimento do SLA</t>
    </r>
    <r>
      <rPr>
        <sz val="14"/>
        <color theme="1" tint="0.14999847407452621"/>
        <rFont val="Century Gothic"/>
        <family val="2"/>
      </rPr>
      <t xml:space="preserve">, assim como o tracking inclui a </t>
    </r>
    <r>
      <rPr>
        <sz val="14"/>
        <color rgb="FFFF0000"/>
        <rFont val="Century Gothic"/>
        <family val="2"/>
      </rPr>
      <t>métrica qualitativa (pesquisa de satisfação por técnico)</t>
    </r>
    <r>
      <rPr>
        <sz val="14"/>
        <color theme="1" tint="0.14999847407452621"/>
        <rFont val="Century Gothic"/>
        <family val="2"/>
      </rPr>
      <t>.</t>
    </r>
  </si>
  <si>
    <t>Há um ranking trimestral da performance dos técnicos utilizando as métricas operacionais e qualitativas, assim como existe programa implementado de reconhecimento considerando o resultado.</t>
  </si>
  <si>
    <t>Existe capacitação trimestral com toda a equipe técnica (ex.: atendimento pessoal, problemas de iluminação,  reparação menor, regras de solicitação de troca, conectividade, execução do EDF, etc.) e existe uma matriz de capacitação para a função de técnico que inclui: treinamentos, notas obtidas, data de validade e nota geral para cada técnico</t>
  </si>
  <si>
    <t>Garantir a produtividade da equipe técnica e a qualidade dos chamados através de seguimento continuo e programa de treinamento frequente e estruturado</t>
  </si>
  <si>
    <t>Ranking trimestral, plano do programa e exemplos de execução</t>
  </si>
  <si>
    <t>Material de capacitação, lista de participantes e matriz de capacitação</t>
  </si>
  <si>
    <t>A planilha de acompanhamento do desempenho por técnico atende todos os critérios solicitados</t>
  </si>
  <si>
    <t>Apresentada imagem com o reconhecimento do técnico, como é um item dinâmico necessitamos verificar que esse tipo de reconhecimento ocorre trimestralmente. Além disso, quais seriam as regras para esse reconhecimento e qual o ranking atualizado para cada trimestre (Ranking trimestral, plano do programa e exemplos de execução)?</t>
  </si>
  <si>
    <r>
      <t xml:space="preserve">#8: </t>
    </r>
    <r>
      <rPr>
        <b/>
        <sz val="36"/>
        <color theme="1" tint="0.14999847407452621"/>
        <rFont val="Century Gothic"/>
        <family val="2"/>
      </rPr>
      <t>CONTROLE DE PEÇAS DE REPOSIÇÃO</t>
    </r>
  </si>
  <si>
    <t>Possuem o controle de peças com seus respectivos valores e quantidades. Controle semanal.</t>
  </si>
  <si>
    <t>Ver a possibilidade de identificar as peças reutilizadas no controle de reposição.</t>
  </si>
  <si>
    <t>Há controle de inventário, preços unitários e custos totais.</t>
  </si>
  <si>
    <t>Existe uma rotina mensal e/ou sistema de gerenciamento de peças parametrizado que utiliza, no mínimo, as seguintes métricas: estoque de segurança, preço/lote mínimo e lead-time.</t>
  </si>
  <si>
    <t>Há uma análise trimestral do % de serviços não executados por falta de peça em estoque, bem como planos de ação para minimizar os casos.</t>
  </si>
  <si>
    <t>Todo o processo de solicitação de peças é 100% automatizado e integrado ao sistema.</t>
  </si>
  <si>
    <t>Garantir que haja uma boa gestão do estoque de peças de reposição.</t>
  </si>
  <si>
    <t>Controle de Stock</t>
  </si>
  <si>
    <t>Relatório mensal e/ou mecanismo usado</t>
  </si>
  <si>
    <t>Dentro do SAP é possível ver os parâmetros dexcritos para controle de peças.</t>
  </si>
  <si>
    <t>Realizam o controle semanal de serviços não realizados por falta de peças. O plano de ação chega a envolver CEPG e o fornecedor.</t>
  </si>
  <si>
    <r>
      <t xml:space="preserve">#9: </t>
    </r>
    <r>
      <rPr>
        <b/>
        <sz val="36"/>
        <color theme="1" tint="0.14999847407452621"/>
        <rFont val="Century Gothic"/>
        <family val="2"/>
      </rPr>
      <t>GERENCIAMENTO DE GARANTIA DE FORNECEDORES</t>
    </r>
  </si>
  <si>
    <t>Possuem análise por modelo com os valores mpedios de mantenção para EDFs abaixo de 5 anos. O crédito (rebate) é menor que o custo médio de manutenção</t>
  </si>
  <si>
    <t>Existe um estudo que verifica o custo médio de manutenção de EDFs com menos de 5 anos por fornecedor e modelos utilizados pelo Fabricante.</t>
  </si>
  <si>
    <t>O crédito só é aceito em troca de garantia quando comprovado o benefício (o crédito é superior ao custo médio de Manutenção de EDFs com menos de 5 anos) e/ou o processo de garantia é aplicado, existe uma matriz de cobertura e direcionamento aos fornecedores .</t>
  </si>
  <si>
    <t>Há um controle financeiro anual dos savings gerados.</t>
  </si>
  <si>
    <t>Os savings gerados são destinados à Área de EDF (ex.: projetos, compra de novos equipamentos, etc.).</t>
  </si>
  <si>
    <t>Garantir que o fabricante esteja comprometido com uma rotina de conectividade para Manutenção.</t>
  </si>
  <si>
    <t>Resultado do cálculo e/ou material aplicado e exemplos de execução</t>
  </si>
  <si>
    <t>Possuem análise por modelo com os valores mpedios de mantenção para EDFs abaixo de 5 anos.</t>
  </si>
  <si>
    <t>O crédito (rebate) é menor que o custo médio de manutenção</t>
  </si>
  <si>
    <r>
      <t xml:space="preserve">#10: </t>
    </r>
    <r>
      <rPr>
        <b/>
        <sz val="36"/>
        <color theme="1" tint="0.14999847407452621"/>
        <rFont val="Century Gothic"/>
        <family val="2"/>
      </rPr>
      <t>CONECTIVIDADE PARA MANUTENÇÃO</t>
    </r>
  </si>
  <si>
    <t>Existe um processo formal de manutenção através de conectividade que define os níveis de criticidade, responsáveis ​​e ações para regularização em cada caso, além de tracking mensal de funcionamentos atípicos.</t>
  </si>
  <si>
    <t>Há um tracking semanal do funcionamento atípico dos equipamentos conectados (com um mínimo de 1.000 EDFs ou 2,5% dos equipamentos no mercado), assim como planos de ação sendo gerados.</t>
  </si>
  <si>
    <t>Existe um cálculo do valor gerado através da rotina e validado pela área Financeira.</t>
  </si>
  <si>
    <t>Os alertas são integrados à inteligência técnica, os pedidos são gerados automaticamente sendo direcionados ao sistema dos executores.</t>
  </si>
  <si>
    <t>ConectividadE</t>
  </si>
  <si>
    <t>Reporte semanal e exemplos de execução</t>
  </si>
  <si>
    <r>
      <t xml:space="preserve">#1: </t>
    </r>
    <r>
      <rPr>
        <b/>
        <sz val="36"/>
        <color theme="1" tint="0.14999847407452621"/>
        <rFont val="Century Gothic"/>
        <family val="2"/>
      </rPr>
      <t>PROCEDIMENTOS PARA MINIMIZAR O DESCARTE</t>
    </r>
  </si>
  <si>
    <t>Possuem a política solicitada e as definições dos responsavies.</t>
  </si>
  <si>
    <t>Existe uma norma formal definindo os critérios para a decisão de descarte, estes foram validados pela Área de Finanças, Controladoria e/ou Contabilidade, e o responsável tem acesso direto para consulta durante a atividade.</t>
  </si>
  <si>
    <t>A norma evidência que só são descartados equipamentos irreparáveis (ex.: casos de obsolescência ou peça indisponível para compra) ou com payback negativo (baseado no estudo de custos para manutenção vs. projeção de receitas da vida útil prolongada).</t>
  </si>
  <si>
    <t>Há treinamento semestral para toda a equipe de descarte sobre os critérios.</t>
  </si>
  <si>
    <t>A Área de Auditoria valida o processo de descarte pelo menos duas vezes ao ano.</t>
  </si>
  <si>
    <t>Garantir a existência de um processo que minimiza as baixas, assegurando que a vida útil seja a maior possível.</t>
  </si>
  <si>
    <t>Processo formal, rotinas de revisão com lista de participantes e ferramenta de acesso ao documento</t>
  </si>
  <si>
    <t>Material de treinamento semestral e lista de participantes</t>
  </si>
  <si>
    <t>Relatório de auditoria semestral</t>
  </si>
  <si>
    <t>Existe um passo a passo do que deve ser feito no procedimento. Qualquer pessoa cosegue ter acesso aos documentos pelo app.</t>
  </si>
  <si>
    <t>possuem árvores de decisão para ver o que deve ser feito com o item.</t>
  </si>
  <si>
    <r>
      <t xml:space="preserve">#2: </t>
    </r>
    <r>
      <rPr>
        <b/>
        <sz val="36"/>
        <color theme="1" tint="0.14999847407452621"/>
        <rFont val="Century Gothic"/>
        <family val="2"/>
      </rPr>
      <t>APROVAÇÃO E SEGREGAÇÃO DO DESCARTE</t>
    </r>
  </si>
  <si>
    <t>Possuem registro para cada equipamento descartado e aprovação da controladoria e finanças.</t>
  </si>
  <si>
    <t>Verificar a possibilidade de definir uma quantidade de acordo com a caçamba do caminhão , inclusive sinalizando a área destinada a  colocação do equipamento para descarte.</t>
  </si>
  <si>
    <t>Existe um reporte técnico para cada equipamento destinado a descarte que inclui o diagnóstico e os critérios utilizados.</t>
  </si>
  <si>
    <t>Existe um workflow de aprovação que passa pela Área de Finanças</t>
  </si>
  <si>
    <t>Os equipamentos são segregados digital e fisicamente em uma área sinalizada e marcados individualmente.</t>
  </si>
  <si>
    <t>Há uma política de armazenamento que define a quantidade e/ou o prazo máximo para descarte, há um tracking trimestral e a mesma está sendo cumprida.</t>
  </si>
  <si>
    <t>Garantir a existência de um procedimento formal para a aprovação do descarte de equipamentos e a organização dos EDFs segregados para esse fim</t>
  </si>
  <si>
    <t>Workflow de aprovação</t>
  </si>
  <si>
    <t>Layout do armazém e exemplos de execução</t>
  </si>
  <si>
    <t>Processo formal, relatório trimestral e reporte de cumprimento.</t>
  </si>
  <si>
    <t>existe um reporte técnico</t>
  </si>
  <si>
    <t>Existe aprovação via email e via sistma SAP.</t>
  </si>
  <si>
    <t>é uma área segregada com placas de identificação infomando que é  descarte. E possui no sistema que o equipamento X é sucata.</t>
  </si>
  <si>
    <t>Falta formalizar o processo</t>
  </si>
  <si>
    <r>
      <t xml:space="preserve">#3: </t>
    </r>
    <r>
      <rPr>
        <b/>
        <sz val="36"/>
        <color theme="1" tint="0.14999847407452621"/>
        <rFont val="Century Gothic"/>
        <family val="2"/>
      </rPr>
      <t>ANÁLISE DO DESCARTE</t>
    </r>
  </si>
  <si>
    <t>Possuem registro no sistema para cada equipamento descartado.</t>
  </si>
  <si>
    <t>Adicionar análises trimestrais com as informações abertas de acordo com os critérios sinalizados.</t>
  </si>
  <si>
    <t>Carla</t>
  </si>
  <si>
    <t>Todos os EDFs descartados possuem registro no sistema com informação de data de descarte, número de série, atualização cadastral e valor residual</t>
  </si>
  <si>
    <t>Existem análises trimestrais dos EDFs descartados contendo no mínimo: motivo de baixa, idade, fornecedor e modelo</t>
  </si>
  <si>
    <t>Há um tracking trimestral que inclui a % da quantidade de equipamentos descartados vs o parque total do Fabricante e o valor residual total do equipamento descartado no período.</t>
  </si>
  <si>
    <t>A média de anos de equipamentos descartados está acima de 12 anos (YTD).</t>
  </si>
  <si>
    <t>Garantir o correto registro das baixas de acordo com as normas para gerar análise de descarte</t>
  </si>
  <si>
    <t>Existe, a fonte já está pronta, precisam somente ajustar a planilha dinamica</t>
  </si>
  <si>
    <r>
      <t xml:space="preserve">#4: </t>
    </r>
    <r>
      <rPr>
        <b/>
        <sz val="36"/>
        <color theme="1" tint="0.14999847407452621"/>
        <rFont val="Century Gothic"/>
        <family val="2"/>
      </rPr>
      <t>SUSTENTABILIDADE PARA O DESCARTE</t>
    </r>
  </si>
  <si>
    <t>Possuem o processo formal  de reutilização de peças com os seus respectivos critérios.</t>
  </si>
  <si>
    <t>Registrar as peças reutilizadas no sistema apropriado para que seja possível identificar as quantidades disponibilizadas em estoque. Necessário adicionar metas de reutilização de peças /gases</t>
  </si>
  <si>
    <t>Existe um processo formal de sustentabilidade para o descarte que define critérios claros de reutilização de peças, assim como o registro no estoque de todas as peças reutilizadas</t>
  </si>
  <si>
    <t>Há direcionamento formal de material não reutilizável para recolhimento por empresas especializadas</t>
  </si>
  <si>
    <t>Há um tracking trimestral de % de material e/ou gases reutilizado vs. descartado do equipamento, e uma meta formalmente definida para maximizar a reutilização.</t>
  </si>
  <si>
    <t>Há programas de sustentabilidade de peças reutilizadas entre Fabricantes, fornecedores (ex.: troca de peças por crédito ou novo equipamento) e/ou agentes sociais.</t>
  </si>
  <si>
    <t>Identificar se há ações efetivas no que se refere a sustentabilidade para descarte</t>
  </si>
  <si>
    <t>Reporte trimestral e processo formal</t>
  </si>
  <si>
    <t>existe um documento com a descrição do procedimento</t>
  </si>
  <si>
    <t>Possuem um critério formal estabelecido para as principais peças, além de acompanhamento do registro no estoque</t>
  </si>
  <si>
    <t>Apresentado direcionamento formal via política e descritivo atestando a empresa especializada no descarte da sucata</t>
  </si>
  <si>
    <t>Não possuem uma meta definida</t>
  </si>
  <si>
    <t>Procurar exemplos.</t>
  </si>
  <si>
    <r>
      <t xml:space="preserve">#5: </t>
    </r>
    <r>
      <rPr>
        <b/>
        <sz val="36"/>
        <color theme="1" tint="0.14999847407452621"/>
        <rFont val="Century Gothic"/>
        <family val="2"/>
      </rPr>
      <t>POLÍTICA DE DESCARTE DE EQUIPAMENTOS</t>
    </r>
  </si>
  <si>
    <t>Possuem uma política em desenvolvimento.</t>
  </si>
  <si>
    <t>Adicionar a árvore de decisão à politica de descarte e definição dos limites de armazenamento.</t>
  </si>
  <si>
    <t>Há um documento único com a política de descarte que inclui procedimentos para minimizar o descarte, com os critérios definidos e utilização de reportes técnicos por equipamentos</t>
  </si>
  <si>
    <t>O documento único também inclui o fluxo de autorização para as baixas e as informações  necessárias para registro no sistema (data de descarte, número de série, atualização de status e valor residual)</t>
  </si>
  <si>
    <t>O documento único também inclui a política de armazenamento com a definição das quantidades e/ou limite máximo de tempo para o descarte e os critérios formais para a reutilização de peças.</t>
  </si>
  <si>
    <t>Toda a equipe de descarte foi treinada sobre o conteúdo da política nos últimos 12 meses.</t>
  </si>
  <si>
    <t>Garantir a existência de uma política formal única de descarte de equipamentos</t>
  </si>
  <si>
    <t>Apresentado a política coms as definições de quantidade de coolers para descarte (20 a 30). Incluido os critérios para reutilização de peças</t>
  </si>
  <si>
    <t>(ago/2023): item dinâmico validado.</t>
  </si>
  <si>
    <t>Realizado treinamento em formato de matinais (último realizado em outubro). Necessário para a validação de 2023 acrescentar o relatório dos participantes + data.
(ago/2023): pontuação dinâmica validada, apresentado o treinamento, conteúdo e lista de presença das áreas de vendas e equipamentos.</t>
  </si>
  <si>
    <t>(ago/2023): pontuação dinâmica validada</t>
  </si>
  <si>
    <t>Consolidado o que foi conversado em Março, julho e setembro. Apresentado os participantes e suas respectivas áreas (Comercial, Gerência de Administração de VendasGAV, Marketing, Equipamentos). Foram apresentadas soluções voltadas para gaxetas, low cost, smart vending cooler.
(ago/2023): apresentada a lista de inovações + atas de reunião com a presença de marketing, técnica e fornecedor</t>
  </si>
  <si>
    <t>(ago/2023): a visita sempre realizada com a presença de alguem de ativos (Vera) + supervisor comercial da região. Pontuação dinâmica validada</t>
  </si>
  <si>
    <t>Apresentado o relatório com o resultado consolidado das pesquisas de instalação e reparo.
(ago/2023): pontuação dinâmica validada</t>
  </si>
  <si>
    <t>Realizam um reunião quinzenal com a metalfrio e apresentaram o resultado da pesquisa de satisfação.
(ago/2023): pontuação dinâmica validada</t>
  </si>
  <si>
    <t>Inclusão de entiquetas entre os cidros da porta para evitar perda, desgaste e com o código da Andina já inserido.
(ago/2023): pontuação dinâmica validada, apresentado a relção de inovação com foco em geladeiras ecológicas (inverter)</t>
  </si>
  <si>
    <t>Apresentado o plano multiyear até 2027 utilizando o Monitor (novo beancon) + Wellington. Verificado a abertura mensal para o entendimento que o plano está sem atraso.
(ago/2023): pontuação dinâmica validada</t>
  </si>
  <si>
    <t>Possuem o acompanahmento do pconsumo de energia e dos EDFs sustentáveis vs a meta. Observação: adicionar a meta na política. (ago/2023): pontuação dinâmica validada</t>
  </si>
  <si>
    <t>O resultado do E2E é compartilhado na reunião gerencial de comercial e marketing. Apresentada o relatório de duas agendas (outubro e novembro) e que a SLT estava presente (Ana Nava).
(ago/2023): pontuação dinâmica validada</t>
  </si>
  <si>
    <r>
      <t xml:space="preserve">O Business review mensal também inclui as métricas de: compras, </t>
    </r>
    <r>
      <rPr>
        <sz val="14"/>
        <color rgb="FFFF0000"/>
        <rFont val="Century Gothic"/>
        <family val="2"/>
      </rPr>
      <t>movimentações</t>
    </r>
    <r>
      <rPr>
        <sz val="14"/>
        <color theme="1" tint="0.14999847407452621"/>
        <rFont val="Century Gothic"/>
        <family val="2"/>
      </rPr>
      <t xml:space="preserve"> (instalação, recolhimento e crescimento líquido), operação (</t>
    </r>
    <r>
      <rPr>
        <sz val="14"/>
        <color rgb="FFFF0000"/>
        <rFont val="Century Gothic"/>
        <family val="2"/>
      </rPr>
      <t>venda zero</t>
    </r>
    <r>
      <rPr>
        <sz val="14"/>
        <color theme="1" tint="0.14999847407452621"/>
        <rFont val="Century Gothic"/>
        <family val="2"/>
      </rPr>
      <t xml:space="preserve">, </t>
    </r>
    <r>
      <rPr>
        <sz val="14"/>
        <color rgb="FFFF0000"/>
        <rFont val="Century Gothic"/>
        <family val="2"/>
      </rPr>
      <t>serviços técnicos</t>
    </r>
    <r>
      <rPr>
        <sz val="14"/>
        <color theme="1" tint="0.14999847407452621"/>
        <rFont val="Century Gothic"/>
        <family val="2"/>
      </rPr>
      <t xml:space="preserve"> e vida útil) e </t>
    </r>
    <r>
      <rPr>
        <sz val="14"/>
        <color rgb="FFFF0000"/>
        <rFont val="Century Gothic"/>
        <family val="2"/>
      </rPr>
      <t>satisfação do cliente.</t>
    </r>
  </si>
  <si>
    <r>
      <t xml:space="preserve">Há Business review mensal que é compartilhado com o SLT e que inclui, no mínimo: a descrição da frota </t>
    </r>
    <r>
      <rPr>
        <sz val="14"/>
        <color rgb="FFFF0000"/>
        <rFont val="Century Gothic"/>
        <family val="2"/>
      </rPr>
      <t>(parque total, em mercado e estoque),</t>
    </r>
    <r>
      <rPr>
        <sz val="14"/>
        <color theme="1" tint="0.14999847407452621"/>
        <rFont val="Century Gothic"/>
        <family val="2"/>
      </rPr>
      <t xml:space="preserve"> </t>
    </r>
    <r>
      <rPr>
        <sz val="14"/>
        <color rgb="FFFF0000"/>
        <rFont val="Century Gothic"/>
        <family val="2"/>
      </rPr>
      <t>cobertura (horizontal, vertical e por segmento)</t>
    </r>
    <r>
      <rPr>
        <sz val="14"/>
        <color theme="1" tint="0.14999847407452621"/>
        <rFont val="Century Gothic"/>
        <family val="2"/>
      </rPr>
      <t xml:space="preserve"> e </t>
    </r>
    <r>
      <rPr>
        <sz val="14"/>
        <color rgb="FFFF0000"/>
        <rFont val="Century Gothic"/>
        <family val="2"/>
      </rPr>
      <t>performance do E2E.</t>
    </r>
  </si>
  <si>
    <t>Apresentaram um material com a apresentação da reunião de marketing e comercial com a perfiormance do E2E inserida. O material possui a cobertura vertical inclusive por segmento (volume dos lientes - diamante, ouro, prata, bronze).
(ago/2023): pontuação dinâmica validada</t>
  </si>
  <si>
    <t>(ago/2023): pontuação dinâmica validada. Somente não foi visto o vida útil.</t>
  </si>
  <si>
    <t>Apresentaram o relatório com a identificação de 5 savings de acordo com os critérios da pontuação, além de um saving relacionado a economia de gaxetas. Adicionado as informações referentes a ao cálculo e acompanhamento.
(ago/2023): pontuação dinâmica validada. Visto os savings gerados por meio da produção das gaxetas.</t>
  </si>
  <si>
    <t>1. Archivo de revisión Ítems dinámicos</t>
  </si>
  <si>
    <t>Modulo</t>
  </si>
  <si>
    <t>Data Revisão</t>
  </si>
  <si>
    <t>Total Ítens Dinâmicos validados pre-fechamento 2023</t>
  </si>
  <si>
    <t>Total Ítems Dinámicos validados</t>
  </si>
  <si>
    <t>Total Itens Dinámicos Pendentes (*)</t>
  </si>
  <si>
    <t>Pontuação E2E pre-fechamento 2023</t>
  </si>
  <si>
    <t>Pontuação E2E Atual</t>
  </si>
  <si>
    <t>2. Cierre Diagnóstico 2023</t>
  </si>
  <si>
    <t>Pontuação atualizada</t>
  </si>
  <si>
    <t>Itens Dinâmicos validados</t>
  </si>
  <si>
    <t>Itens Dinâmicos validados pre-cierre 2023</t>
  </si>
  <si>
    <t>Formatação condicional</t>
  </si>
  <si>
    <t>Tema</t>
  </si>
  <si>
    <t>Proceso</t>
  </si>
  <si>
    <t>Quantidade "D"</t>
  </si>
  <si>
    <t>Puntuación E2E Actual</t>
  </si>
  <si>
    <t>Puntuación E2E  pre-cierre 2023</t>
  </si>
  <si>
    <t>Total pontuação din perdida</t>
  </si>
  <si>
    <t>Puntuación E2E</t>
  </si>
  <si>
    <t>Revisión [R]</t>
  </si>
  <si>
    <t>Obs: Colar valor  antes do call nos campos amarelos</t>
  </si>
  <si>
    <t>Verificado o Feedback do CEPG.
Ago/23:  Verificado o Feedback do CEPG.</t>
  </si>
  <si>
    <t>(set/2023): Item dinâmico validado.</t>
  </si>
  <si>
    <t>(set/2023): Item dinâmico validado. Carta assinada desde 2022</t>
  </si>
  <si>
    <t>(set/2023): Item dinâmico validado. Carat contempla desde 2021 a 2023.</t>
  </si>
  <si>
    <t>(set/2023): Item dinâmico validado. Realizam projeção diária de instalação. Além disso possuem a visibilidade de capacidade máxima, mínima e estoque atual (disponível, manutenção, reprocewssados e novos).</t>
  </si>
  <si>
    <t>(set/2023): Item dinâmico validado. Possuem um protocolo de recebimento com as informações dos equipamentos que chegaram utilizado para realização da validação e atualização. Os critérios seguem a recomendação do book E2E.</t>
  </si>
  <si>
    <t>(set/2023): Item dinâmico validado. Realizam a rotina de acompanhamento de forma mensal.</t>
  </si>
  <si>
    <t>(set/2023): Item dinâmico validado. Realizam reuniões quinzenais devidamente registradas com responsaveis, planos de ação, datas...</t>
  </si>
  <si>
    <t>Possuem registro individual com: idade descarte, valor aquisição, manutenção, sucata, consumo peças.
(set/2023): Item dinâmico validado. Possuem um acompnhamento via excel com histórico desde 2020, estão verificando a automatização em formato de Power Bi.</t>
  </si>
  <si>
    <t>Possuem análises totais e médias por SKU a partir de 2020.
(set/2023): Item dinâmico validado. Possuem um acompnhamento via excel com histórico desde 2020, estão verificando a automatização em formato de Power Bi.</t>
  </si>
  <si>
    <t>(set/2023): Necessario identificar que algum equipamento não foi comprado devido as análises citadas ao longo do item.</t>
  </si>
  <si>
    <t>Existe uma reunião mensal com os fornecedores e comercial.
(set/2023): Item dinâmico validado. Reunião realizada em junho na CCIL.</t>
  </si>
  <si>
    <t>Visto uma tabela comparativa de preços de um ano vs o outro, além disso apresentaram um email da CEPG sobre os preços.
(set/2023): Item dinâmico validado</t>
  </si>
  <si>
    <t>(set/2023): Item dinâmico validado. Inventário mensal, compartilhada em rede. Utilizam a leitura de códigos de barras para identificar e conolidar as pesquisas. Depois realizam um confornto com as definições do SAP.</t>
  </si>
  <si>
    <t>Apresentaram uma materiz de capacitação.  Verificado a lista de participantes do treinamento anual.
(set/2023): Item dinâmico validado. No portal do conhecimento há o treinamento 5S. Após a conclusão é gerado um certificado.</t>
  </si>
  <si>
    <t>(set/2023): Item dinâmico validado. A auditoria é realizada pela área de Qualidade. Além disso há uma auditpria externa para certificação ISO 9001. Verificad os planos de ação voltados para a área de coolers.</t>
  </si>
  <si>
    <t>(set/2023): Realizam uma avaliação da àrea de Qualidade onde como resultado é grada uma avaliação da àrea de ativos.</t>
  </si>
  <si>
    <t>(set/2023): Item dinâmico validado. Possuem todos os critérios solicitados.</t>
  </si>
  <si>
    <t>Possuem a iniciativa de realizar o planejamento das frotas de instalação com um dia de antecedência. Além disso possuem todo um direcionamento ´para Comercial informando a quantidade de EDFs disponíveis os níveis de chegadas de novos equipamentos para otimizar as instalações.
(set/2023): Item dinâmico validado. Realiza análises para vrificar o tempo de estadia. Como plano de açã realizaram o direcionamento da instalação da VB28 no lugar de VB43 desde julho.</t>
  </si>
  <si>
    <t>Realizam treinamentos, entretanto apresentada a lista de participantes e o material.
(set/2023): Item dinâmico validado. Realizado treinamento em agosto e setembro. Verificado a lista de participantes.</t>
  </si>
  <si>
    <t>Realizaram uma mudança referente a métrica do venda zero adiantando as etapaz para cair o %, além disso apresentaram a política formal.
(set/2023): Item dinâmico validado. Verificado os acompanahmentos e os processos formais.</t>
  </si>
  <si>
    <t>A VIPs é a empresa responsavel pelo apoio a recuperação do equipamento. Possuem controle por status de acordo com a exigência da pontiuação.
(set/2023): Item dinâmico validado. Seguem as atividades de acompanhamento e ações.</t>
  </si>
  <si>
    <t>Possuem uma política com a descrição dos responsáveis e das ações. Verificado o tracking e as ações (técnico vai até o clientes checar).
(set/2023): Item dinâmico validado.</t>
  </si>
  <si>
    <t>Apresentaram o tracking semanal e o limites solicitados foram cumpridos.
(set/2023): Item dinâmico validado. O aumento do % é devido a instalação do app no celular dos vendedores, técnicos e motorista em 100% das frentes. Há uma definição de planos de ação para cada distancia percorrida. Para cada caso há um controle de ação.</t>
  </si>
  <si>
    <t>Apresentado o relatória com a consolidação de acordo com a pontuação. A pesquisa de validação mensal foi usada como referência.
(set/2023): Item dinâmico validado. Possuem uma relação de leituras realizadas no PDV (laranja) vs sistema azul. Acompanhamento mensal devidamente consolidado para identificação de inconsistência.</t>
  </si>
  <si>
    <t>Possuem um resultado de 62,5% (vendedor + satinizador).
(set/2023): Item dinâmico validado. O resultado está em 89%</t>
  </si>
  <si>
    <t>As reuniões quinzenais tratam temas operacionais e estratégicas, acrescentaram métricas: SLA de chegada, % de falha técnica, vida útil e sustentabilidade (ex.: consumo de energia) + planos de ação relacionados.
(ago/2023): apresentado os planos de ação para as oportunidades identificadas, necessário entender se as métricas são apresentadas (pelo menos 3)
(set/2023): Item dinâmico validado. Reunião realizada no final de agosto.</t>
  </si>
  <si>
    <t>Apresentada a formalização de como são definidos os critérios de atualização da lista foco. Visto a atualização da lista foco (mensal)
out/23: envia para area de marketing mensalmente</t>
  </si>
  <si>
    <t>Por meio do Gerra Frio cada vendedor passa a ter a informação da quantidade de geladeiras por cliente. Apresentado ranking de conversão a nível vendedor (território) meta vs realizado em relação a geladeitras.
Out/23: meta de conversão por vendedor de acordo com a meta de instalação</t>
  </si>
  <si>
    <t>O raking para reconhecimento é bimestral . Apresentada a dinâmica do reconhecimento
out/23:  ranking trimestral por zona com medalhas. Necesário ver exemplos de ranking trimestral e programa de reforço</t>
  </si>
  <si>
    <t>out/23: meta defina com CCIL em janeiro. Reporte mensal feito a KO,</t>
  </si>
  <si>
    <t>Há metas de instalações mensais  estabelecidas. Por email são compartilhadas as planilhas de acompanhemnto.
OUT/23: acompanhamentos com a gerencia e time de vendas com metas por rota e gerais</t>
  </si>
  <si>
    <t>out/23: no momento estão abaix</t>
  </si>
  <si>
    <t>Apresentado o tracking mensal e a política com os motivos de recolhimento + ações de regularização de acordo com a recomendação do book E2E.
Out/23: tracking mensal com diversos motivos</t>
  </si>
  <si>
    <t>out/23: emails para tratativas de recolhas por vendedor são enviados diariamente</t>
  </si>
  <si>
    <t>Apresentada o tracking da performance do SLA e a matriz possui os critérios de região e cobertura de geladeiras nos clientes. Oportunidade para melhorar a performance (abaixo da média Latam) e para diminuir os dias para instalação (acima da média Latam).
out/23: estão cumprindo com 33% do SLA. Sugestão de revisar a matriz, gargalo em fluxos de aprovação</t>
  </si>
  <si>
    <t>Apresentada o tracking da performance do SLA e a matriz possui os critérios de região e cobertura de geladeiras nos clientes. Oportunidade para melhorar a performance (abaixo da média Latam) e para diminuir os dias para instalação (acima da média Latam). 
out/23: estão atingindo o ponto mas necessário revisar a matriz. Atualmente atingem 30%</t>
  </si>
  <si>
    <t xml:space="preserve">Recomendação: adicionar os custos envolvidos para cada mês
out/23: atualizada até julho. </t>
  </si>
  <si>
    <t>Elaboraram a segmentação dos clientes e a partir disso realizaram os calculos da cobertura.
Out/23: reporte de março e julho. Sugestão de automatização dos relatórios com BI</t>
  </si>
  <si>
    <t>Elaboraram a segmentação dos clientes e a partir disso realizaram os calculos da cobertura.
OUT/23: mantiveram as atualizações em março e jul</t>
  </si>
  <si>
    <t>out/23: reporte trimestrral</t>
  </si>
  <si>
    <t>Estão realizando o tracking de abertura de portas. 
Out/23: relatório é cruzado com status de venda zero. Estao focando ações de manutenção e geolocalização</t>
  </si>
  <si>
    <t>Apresentaram a política com uma orientação geral referente a abertura de portas, além de um tracking semanal.
Out/23: possui tracking de abertura de portas semanal, vendas quentes (temperatura)</t>
  </si>
  <si>
    <t>Em casos de invasão o gerente comercial realiza o bloqueio da geladeira remotamente (não refrigerando), após o chamado do cliente é explicado o motivo
out/23: tracking tem relação com vendas quentes e abertura de portas. Necessário ver planos de ação</t>
  </si>
  <si>
    <t>Possuem material direcionando as iniciativas relacionadas ao meio ambiente e o mesmo foi validados por pessoal responsável
out/23: receberam geladeira bivolts e mudaram o flyer</t>
  </si>
  <si>
    <t>Apresentado a política coms as definições de quantidade de coolers para descarte. Para verificar se os número estão sendo respeitados adicionaram uma quantidae média de caçambas utilizadas para cada 25 equipamentos. Fechamento 2023: continuam fazendo as analises mensais e consolidam trimestralmente</t>
  </si>
  <si>
    <t>Possuem acompanhamento mesnal dos principais motivos que levam os EDFs a baixa. Fechamento 2023: continuam fazendo analises mensais com abertura de motivos, idades media, e fornecedor para cada regiao</t>
  </si>
  <si>
    <t>Fechamento 2023: continuam com tracking trimestral de cooelrs descartados e cpmparam com o a frota total de equipamentos Nesse 2023 houve um aumento das qtds descatadas principalmente por iniciativa do Bottler para renvar o parque para que tenha maior tecnologia de conectividade</t>
  </si>
  <si>
    <t>Possuem a meta de troca de equipamentos de um determinado gás por outro sustentável, no entanto o item aborda sobre uma meta de reutilização de gases (reciclagem) ou outros materiais. Adicionada uma meta de aumento de reutilização de peças em 5% vs período anterior. Fechamento 2023: continuam com a meta de 5% maior do que 2022. Esse ano ainda nao estao batendo a meta por conta da renovacao de EDF no 2023, e por serem equipamentos antigos, as pecas nao estao sendo re aproveitadas</t>
  </si>
  <si>
    <t>Fechamento 2023: mantiverma a rotina de mapear todos os motivos de manutencao mensalmente, ficando identificado que os princiais motivos sao manutencao por troca de pepcas e problemas com o controlador</t>
  </si>
  <si>
    <t>Fechamento 2023: mantiveram a rotina de analises por modelo e por motivo da manutencao e continuam criando planos de acao e FUP dos planos com o fornecedor (hoje trabalham principalmente com a metalfrio)</t>
  </si>
  <si>
    <t>Apresentada a agenda de reunião com a ata com o time da Metalfrio onde o tema da redução de manutenção foi pauta. Fechamento 2023: criarma m grupo de comunicao direta (zap) com os fornecedoress metalfrio e ao frio aonde enviam informacoes de problemas identificados com o equipamwntos,. alem disso, tem um rotina frecuente de apresentar os problemas ao forneeder para identificaco de oportunidades de melhoras nos equipamentos</t>
  </si>
  <si>
    <t>A planilha de acompanhamento do desempenho por técnico atende todos os critérios solicitado. Fechamento 2023: mantiveram a planilha de acompanhamento apresentado no inicio do ciclo 5.0. As variaveis cosnideradas sao SLA, % troca, satisfacao</t>
  </si>
  <si>
    <t>Fechamento 2023: Contam com o SAP pamaterizao e criam relaotopr exportados do SAP ara acompanahr as existencias e criar um cronograma de compras de acordo ao MRP estabelecido</t>
  </si>
  <si>
    <t>Fechamento 2023: criaram uma rotina quinzenal com o fornecedor Metalfrio que trata todos os asuntos possiveis de cadeia de sumnistros, e desde Fevereiro 2023 estao com zero casos de servicos nao executados por falta de pecas</t>
  </si>
  <si>
    <t>A política de conectividade possui ênfase para a manutenção. Apresentado o tracking mensal. Fechamento 2023: trabalham com relatorios semanal para temperatura, compressos, sistema de refrigeracao)</t>
  </si>
  <si>
    <t>Apresentado o tracking semanal onde foi identificado que o maior motivo para a temperatura fora do padrão foi  a não localização. Entraram em contato com a Metalfrio para já associar o código da Andina ao controlador. Fechamento 2023: Uma vez identificados os casos de funcionamento atipico, sao compartilhados pelo Email os acoes a erem feitas</t>
  </si>
  <si>
    <t>Novembro 2023: criaram um treinamento durante o mes de novembro de politicas e criterios de descarte (arvore de decisao, a politica). O curso da direito a um certificado apos aprovacao de algumas peguntas feitas no portal de treinamentos da Andina</t>
  </si>
  <si>
    <t>Novembro: treinamento realizado em Novembro 2023</t>
  </si>
  <si>
    <t>For a feitos treinaemntos ao logo do 2023 em todas as unidades operativas da Andina (ES, RJ, RP) sobre varios assuntos, alem da politica de controles..</t>
  </si>
  <si>
    <t>Possuem um resultado de 62,5% (vendedor + satinizador).
(set/2023): O resultado está em 89% (no/2023): o resultado esta em 92,7%</t>
  </si>
  <si>
    <t>Apresentado a ferramenta de acesso por parte dos vendedores (IRed), ao longo do item verificamos que é citado também que o time da área de equipamentos necessita ter acesso a essas informações. Logo é importante verificar se esse conteúdo digitalizado também está disponibilizado para eles e por qual meio (citar exemplos com fotos). (dez/2023): Apresentado o QRcode anexado junto ao crachá do time de vendas, nele há informações diversas, inclusive a FDS.</t>
  </si>
  <si>
    <t xml:space="preserve"> (dez/2023): verificado exemplos de reuniões entre os times de compras e EDFs em novembro.</t>
  </si>
  <si>
    <t xml:space="preserve"> (dez/2023): Visitaram a Femsa, Uberlândia e receberam o time de Femsa e Uberlândia</t>
  </si>
  <si>
    <t>(ago/2023): pendente apresentar uma evidência que demonstra a saída ao mercado.
 (dez/2023): em novembro fiseram a visita ao mercado junto com o fornecedor no RJ</t>
  </si>
  <si>
    <t>Apresentada a conversão em árvores com base na redução da emissão de CO2, necessário somente apresentar para o SLT.
 (dez/2023): apresentaram um material junto ao SLT (último comitê de novembro), observado que a performance vs ano anterior quase dobrou.</t>
  </si>
  <si>
    <t xml:space="preserve"> (dez/2023): estão realizando projetos de inovação junto a Metalfrio, hoje são os primeiros de Brasil com a tecnologia Bivol e invertert. Com isso o consumo de energia reduziu em 14%.</t>
  </si>
  <si>
    <t>(ago/2023): pontuação dinâmica validada. Participação no Workshop confirmada
 (dez/2023): Finalizado na melhor prática</t>
  </si>
  <si>
    <t>(dez/2023): Possuem esteira e emplilhadeira retirando os EDFs e plataformas elevatórias em todos os caminhões.</t>
  </si>
  <si>
    <t>Apresentado a lista de um treinamento realizado em novembro. Por se tratar de um treinamento anual é preciso entender um pouco mais de detalhe se o treinamento realizado compreende também outros tipos de movimentação além da instalação (ex: manutenção, descarte...), além disso o material precisa apresentar técnicas que garanta a integridade das pessoas (conforme o parcial.
(dez/2023): apresentado o treinamento realizado em outubro e novembro com a lista de participantes.</t>
  </si>
  <si>
    <t>(set/2023): Item dinâmico não validado. O resultado em portas está em 5,7%.
(dez/2023): Estão com 5,2%</t>
  </si>
  <si>
    <t>Existe um censo relacionado a todos os segmentos incluindo : total de equipamentos, valor de aquisição e valor residual. Tambem há uma um percentual de perdas relacionado as regiões atendidas pela Andina.
(set/2023): O censo está em curso, previsão de fechamento para outubro. último censo realizado em 2021.
(dez/2023): o censo começou em março e o resultado saiu em novembro. O número oficial consta com 11,6k perdas</t>
  </si>
  <si>
    <t>Apresentado o relatório para fechamento do censo e o acompanhamento das tratativas de irregularidade.
(set/2023): O censo está em curso, previsão de fechamento para outubro. último ceso realizado em 2021.
(dez/2023): apresentado o resultado e os emails visando a regularização</t>
  </si>
  <si>
    <t>(dez/2023): Apresentado um processo de rebate a partir do reaproveitamento de peças juno com o fornecedor.</t>
  </si>
  <si>
    <t>Our/23:  possuem treinamento com regras de ouro. Necessario ver a lista de presença e datas mais recentes.
(dez/2023): verificado o conteúdo e a lista de presença (março, novembro, dezembro)</t>
  </si>
  <si>
    <t>out/23: treinamento realizado em Março, abril e maio com a força de venda. Identificar itens de treinamento e criar treinamento único para o ultimo trimestre.
(dez/2023): apresentado lista de participantes e conteúdo.</t>
  </si>
  <si>
    <t>out/23: realizar treinamento no ultimo trimestre
(dez/2023): apresentado lista de participantes e conteúdo.</t>
  </si>
  <si>
    <t>Apresentado o treinamento realizado ao time de vendas.Apresentado algo voltado a geladeira do cliente. O acesso é por meio do IRED. Sugestão: para o próximo ano adicionar a lista de participantes.
Out/23: necessário ver treinamento 
(dez/2023): apresentado lista de participantes e conteúdo. Por meio do QRCode no crachá é póssível acessar o conteúdo do treinamento.</t>
  </si>
  <si>
    <t>out/23: há negociação para equipamentos crystal.
(dez/2023): apresentado o pedido de compras de geladeiras powerade e crystal: 120 unidades.</t>
  </si>
  <si>
    <t>]</t>
  </si>
  <si>
    <t>Novembro 2023: foram arpesentados os email da area financeiroa solicitando as bases de EDF sucatados entre Nov22 e Abr23. Ainda estao aguardando o relatorio de auditoria com as nao conformidades (se houver).A expectativia e receber o relatorio ate o final do ano.
(dez/2023): NApresentado  o relatório da auditoria realizado por uma área externa.O relatória consta a metodologia, critérios e planos definidos.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</si>
</sst>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yy;@"/>
    <numFmt numFmtId="166" formatCode="[$-580A]d&quot; de &quot;mmmm&quot; de &quot;yyyy;@"/>
  </numFmts>
  <fonts count="86" x14ac:knownFonts="1">
    <font>
      <sz val="11"/>
      <color theme="1"/>
      <name val="Calibri"/>
      <family val="2"/>
      <scheme val="minor"/>
    </font>
    <font>
      <sz val="11"/>
      <color theme="1"/>
      <name val="Calibri"/>
      <family val="2"/>
      <scheme val="minor"/>
    </font>
    <font>
      <sz val="11"/>
      <color theme="1"/>
      <name val="Century Gothic"/>
      <family val="2"/>
    </font>
    <font>
      <sz val="12"/>
      <color theme="1"/>
      <name val="Century Gothic"/>
      <family val="2"/>
    </font>
    <font>
      <sz val="16"/>
      <color theme="1"/>
      <name val="Century Gothic"/>
      <family val="2"/>
    </font>
    <font>
      <b/>
      <sz val="14"/>
      <color theme="0"/>
      <name val="Century Gothic"/>
      <family val="2"/>
    </font>
    <font>
      <b/>
      <sz val="18"/>
      <color theme="0"/>
      <name val="Century Gothic"/>
      <family val="2"/>
    </font>
    <font>
      <sz val="16"/>
      <name val="Century Gothic"/>
      <family val="2"/>
    </font>
    <font>
      <sz val="26"/>
      <color theme="1"/>
      <name val="Century Gothic"/>
      <family val="2"/>
    </font>
    <font>
      <sz val="22"/>
      <color theme="1"/>
      <name val="Century Gothic"/>
      <family val="2"/>
    </font>
    <font>
      <b/>
      <sz val="12"/>
      <color theme="1"/>
      <name val="Century Gothic"/>
      <family val="2"/>
    </font>
    <font>
      <b/>
      <sz val="12"/>
      <color theme="0"/>
      <name val="Century Gothic"/>
      <family val="2"/>
    </font>
    <font>
      <sz val="16"/>
      <color theme="0"/>
      <name val="Century Gothic"/>
      <family val="2"/>
    </font>
    <font>
      <sz val="12"/>
      <color theme="0"/>
      <name val="Century Gothic"/>
      <family val="2"/>
    </font>
    <font>
      <sz val="12"/>
      <color theme="2" tint="-0.749992370372631"/>
      <name val="Century Gothic"/>
      <family val="2"/>
    </font>
    <font>
      <sz val="18"/>
      <color theme="0"/>
      <name val="Century Gothic"/>
      <family val="2"/>
    </font>
    <font>
      <b/>
      <sz val="36"/>
      <color theme="1" tint="0.14999847407452621"/>
      <name val="Century Gothic"/>
      <family val="2"/>
    </font>
    <font>
      <sz val="10"/>
      <color theme="1"/>
      <name val="Century Gothic"/>
      <family val="2"/>
    </font>
    <font>
      <b/>
      <sz val="24"/>
      <color theme="1" tint="0.14999847407452621"/>
      <name val="Century Gothic"/>
      <family val="2"/>
    </font>
    <font>
      <sz val="24"/>
      <color theme="1" tint="0.14999847407452621"/>
      <name val="Century Gothic"/>
      <family val="2"/>
    </font>
    <font>
      <sz val="16"/>
      <color theme="1" tint="0.14999847407452621"/>
      <name val="Century Gothic"/>
      <family val="2"/>
    </font>
    <font>
      <sz val="36"/>
      <color theme="1" tint="0.14999847407452621"/>
      <name val="Century Gothic"/>
      <family val="2"/>
    </font>
    <font>
      <sz val="12"/>
      <color theme="1" tint="0.14999847407452621"/>
      <name val="Century Gothic"/>
      <family val="2"/>
    </font>
    <font>
      <sz val="11"/>
      <color theme="1" tint="0.14999847407452621"/>
      <name val="Century Gothic"/>
      <family val="2"/>
    </font>
    <font>
      <sz val="14"/>
      <color theme="1" tint="0.14999847407452621"/>
      <name val="Century Gothic"/>
      <family val="2"/>
    </font>
    <font>
      <b/>
      <sz val="12"/>
      <color theme="1" tint="0.14999847407452621"/>
      <name val="Century Gothic"/>
      <family val="2"/>
    </font>
    <font>
      <sz val="26"/>
      <color theme="1" tint="0.14999847407452621"/>
      <name val="Century Gothic"/>
      <family val="2"/>
    </font>
    <font>
      <b/>
      <sz val="14"/>
      <color theme="1" tint="0.14999847407452621"/>
      <name val="Century Gothic"/>
      <family val="2"/>
    </font>
    <font>
      <sz val="14"/>
      <color theme="1" tint="0.14999847407452621"/>
      <name val="Calibri"/>
      <family val="2"/>
      <scheme val="minor"/>
    </font>
    <font>
      <b/>
      <sz val="18"/>
      <color theme="1" tint="0.14999847407452621"/>
      <name val="Century Gothic"/>
      <family val="2"/>
    </font>
    <font>
      <sz val="11"/>
      <color theme="1" tint="0.14999847407452621"/>
      <name val="Calibri"/>
      <family val="2"/>
      <scheme val="minor"/>
    </font>
    <font>
      <b/>
      <sz val="14"/>
      <color theme="1" tint="0.14999847407452621"/>
      <name val="Calibri"/>
      <family val="2"/>
      <scheme val="minor"/>
    </font>
    <font>
      <sz val="18"/>
      <color theme="1" tint="0.14999847407452621"/>
      <name val="Calibri"/>
      <family val="2"/>
      <scheme val="minor"/>
    </font>
    <font>
      <sz val="10"/>
      <color theme="1" tint="0.14999847407452621"/>
      <name val="Century Gothic"/>
      <family val="2"/>
    </font>
    <font>
      <sz val="14"/>
      <color rgb="FFC00000"/>
      <name val="Century Gothic"/>
      <family val="2"/>
    </font>
    <font>
      <sz val="28"/>
      <color rgb="FFFF0000"/>
      <name val="Calibri"/>
      <family val="2"/>
    </font>
    <font>
      <sz val="11"/>
      <color theme="0"/>
      <name val="Calibri"/>
      <family val="2"/>
      <scheme val="minor"/>
    </font>
    <font>
      <sz val="24"/>
      <color theme="1" tint="0.14999847407452621"/>
      <name val="Calibri"/>
      <family val="2"/>
      <scheme val="minor"/>
    </font>
    <font>
      <sz val="16"/>
      <color theme="2" tint="-0.749992370372631"/>
      <name val="Century Gothic"/>
      <family val="2"/>
    </font>
    <font>
      <sz val="11"/>
      <color theme="2" tint="-0.249977111117893"/>
      <name val="Century Gothic"/>
      <family val="2"/>
    </font>
    <font>
      <sz val="14"/>
      <color theme="2" tint="-0.749992370372631"/>
      <name val="Century Gothic"/>
      <family val="2"/>
    </font>
    <font>
      <sz val="1"/>
      <color theme="1"/>
      <name val="Calibri"/>
      <family val="2"/>
      <scheme val="minor"/>
    </font>
    <font>
      <sz val="14"/>
      <color theme="0"/>
      <name val="Calibri"/>
      <family val="2"/>
      <scheme val="minor"/>
    </font>
    <font>
      <sz val="11"/>
      <color theme="0"/>
      <name val="Century Gothic"/>
      <family val="2"/>
    </font>
    <font>
      <sz val="18"/>
      <color theme="1"/>
      <name val="Century Gothic"/>
      <family val="2"/>
    </font>
    <font>
      <b/>
      <sz val="18"/>
      <color theme="1"/>
      <name val="Century Gothic"/>
      <family val="2"/>
    </font>
    <font>
      <b/>
      <sz val="22"/>
      <color theme="1" tint="0.14999847407452621"/>
      <name val="Century Gothic"/>
      <family val="2"/>
    </font>
    <font>
      <b/>
      <sz val="16"/>
      <color theme="1" tint="0.14999847407452621"/>
      <name val="Century Gothic"/>
      <family val="2"/>
    </font>
    <font>
      <b/>
      <sz val="11"/>
      <color theme="1" tint="0.14999847407452621"/>
      <name val="Century Gothic"/>
      <family val="2"/>
    </font>
    <font>
      <sz val="11"/>
      <color indexed="81"/>
      <name val="Segoe UI"/>
      <family val="2"/>
    </font>
    <font>
      <sz val="11"/>
      <color indexed="81"/>
      <name val="Century Gothic"/>
      <family val="2"/>
    </font>
    <font>
      <b/>
      <sz val="24"/>
      <color theme="0"/>
      <name val="Century Gothic"/>
      <family val="2"/>
    </font>
    <font>
      <sz val="11"/>
      <name val="Century Gothic"/>
      <family val="2"/>
    </font>
    <font>
      <sz val="14"/>
      <color theme="1"/>
      <name val="Calibri"/>
      <family val="2"/>
      <scheme val="minor"/>
    </font>
    <font>
      <b/>
      <sz val="20"/>
      <color theme="1" tint="0.14999847407452621"/>
      <name val="Century Gothic"/>
      <family val="2"/>
    </font>
    <font>
      <b/>
      <sz val="26"/>
      <color theme="1" tint="0.14999847407452621"/>
      <name val="Century Gothic"/>
      <family val="2"/>
    </font>
    <font>
      <sz val="16"/>
      <color rgb="FFC00000"/>
      <name val="Century Gothic"/>
      <family val="2"/>
    </font>
    <font>
      <sz val="12"/>
      <color theme="5" tint="0.79998168889431442"/>
      <name val="Century Gothic"/>
      <family val="2"/>
    </font>
    <font>
      <sz val="16"/>
      <color rgb="FF00B050"/>
      <name val="Century Gothic"/>
      <family val="2"/>
    </font>
    <font>
      <sz val="16"/>
      <color theme="1" tint="0.499984740745262"/>
      <name val="Century Gothic"/>
      <family val="2"/>
    </font>
    <font>
      <sz val="12"/>
      <color theme="6" tint="0.39997558519241921"/>
      <name val="Century Gothic"/>
      <family val="2"/>
    </font>
    <font>
      <sz val="12"/>
      <color theme="9" tint="0.79998168889431442"/>
      <name val="Century Gothic"/>
      <family val="2"/>
    </font>
    <font>
      <sz val="16"/>
      <color theme="9" tint="0.79998168889431442"/>
      <name val="Century Gothic"/>
      <family val="2"/>
    </font>
    <font>
      <sz val="14"/>
      <color theme="9" tint="0.79998168889431442"/>
      <name val="Century Gothic"/>
      <family val="2"/>
    </font>
    <font>
      <b/>
      <sz val="11"/>
      <color theme="1" tint="0.249977111117893"/>
      <name val="Century Gothic"/>
      <family val="2"/>
    </font>
    <font>
      <u/>
      <sz val="11"/>
      <color theme="10"/>
      <name val="Calibri"/>
      <family val="2"/>
      <scheme val="minor"/>
    </font>
    <font>
      <sz val="34"/>
      <color theme="1" tint="0.14999847407452621"/>
      <name val="Century Gothic"/>
      <family val="2"/>
    </font>
    <font>
      <b/>
      <sz val="34"/>
      <color theme="1" tint="0.14999847407452621"/>
      <name val="Century Gothic"/>
      <family val="2"/>
    </font>
    <font>
      <b/>
      <sz val="28"/>
      <color theme="1" tint="0.14999847407452621"/>
      <name val="Century Gothic"/>
      <family val="2"/>
    </font>
    <font>
      <u/>
      <sz val="28"/>
      <color rgb="FFFF0000"/>
      <name val="Calibri"/>
      <family val="2"/>
    </font>
    <font>
      <sz val="14"/>
      <color rgb="FF000000"/>
      <name val="Calibri"/>
      <family val="2"/>
      <scheme val="minor"/>
    </font>
    <font>
      <sz val="10"/>
      <color theme="0" tint="-0.499984740745262"/>
      <name val="Century Gothic"/>
      <family val="2"/>
    </font>
    <font>
      <sz val="26"/>
      <color theme="0" tint="-0.499984740745262"/>
      <name val="Century Gothic"/>
      <family val="2"/>
    </font>
    <font>
      <sz val="14"/>
      <name val="Century Gothic"/>
      <family val="2"/>
    </font>
    <font>
      <sz val="14"/>
      <color theme="1"/>
      <name val="Century Gothic"/>
      <family val="2"/>
    </font>
    <font>
      <sz val="14"/>
      <color rgb="FFFF0000"/>
      <name val="Century Gothic"/>
      <family val="2"/>
    </font>
    <font>
      <b/>
      <sz val="11"/>
      <color rgb="FFC0000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sz val="10"/>
      <color theme="0"/>
      <name val="Calibri"/>
      <family val="2"/>
      <scheme val="minor"/>
    </font>
    <font>
      <b/>
      <sz val="16"/>
      <color theme="0"/>
      <name val="Century Gothic"/>
      <family val="2"/>
    </font>
    <font>
      <i/>
      <sz val="14"/>
      <color theme="0"/>
      <name val="Century Gothic"/>
      <family val="2"/>
    </font>
    <font>
      <sz val="12"/>
      <name val="Century Gothic"/>
      <family val="2"/>
    </font>
    <font>
      <sz val="10"/>
      <color theme="1" tint="0.14999847407452621"/>
      <name val="Century Gothic"/>
      <family val="2"/>
    </font>
    <font>
      <sz val="10"/>
      <color theme="1" tint="0.14999847407452621"/>
      <name val="Century Gothic"/>
    </font>
  </fonts>
  <fills count="25">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14999847407452621"/>
        <bgColor indexed="64"/>
      </patternFill>
    </fill>
    <fill>
      <patternFill patternType="solid">
        <fgColor theme="0"/>
        <bgColor theme="6" tint="0.59999389629810485"/>
      </patternFill>
    </fill>
    <fill>
      <patternFill patternType="solid">
        <fgColor theme="0"/>
        <bgColor theme="6" tint="0.79998168889431442"/>
      </patternFill>
    </fill>
    <fill>
      <patternFill patternType="solid">
        <fgColor theme="0" tint="-4.9989318521683403E-2"/>
        <bgColor indexed="64"/>
      </patternFill>
    </fill>
    <fill>
      <patternFill patternType="solid">
        <fgColor theme="1"/>
        <bgColor indexed="64"/>
      </patternFill>
    </fill>
    <fill>
      <patternFill patternType="solid">
        <fgColor theme="1" tint="0.249977111117893"/>
        <bgColor indexed="64"/>
      </patternFill>
    </fill>
    <fill>
      <patternFill patternType="solid">
        <fgColor rgb="FF00B050"/>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2"/>
        <bgColor indexed="64"/>
      </patternFill>
    </fill>
    <fill>
      <patternFill patternType="solid">
        <fgColor theme="5" tint="0.59999389629810485"/>
        <bgColor indexed="64"/>
      </patternFill>
    </fill>
    <fill>
      <patternFill patternType="solid">
        <fgColor rgb="FFF5E1DB"/>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008080"/>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1" tint="0.499984740745262"/>
        <bgColor indexed="64"/>
      </patternFill>
    </fill>
    <fill>
      <patternFill patternType="solid">
        <fgColor rgb="FFFFFF00"/>
        <bgColor indexed="64"/>
      </patternFill>
    </fill>
  </fills>
  <borders count="27">
    <border>
      <left/>
      <right/>
      <top/>
      <bottom/>
      <diagonal/>
    </border>
    <border>
      <left/>
      <right/>
      <top/>
      <bottom style="thin">
        <color theme="0"/>
      </bottom>
      <diagonal/>
    </border>
    <border>
      <left/>
      <right/>
      <top style="thin">
        <color theme="0"/>
      </top>
      <bottom/>
      <diagonal/>
    </border>
    <border>
      <left/>
      <right style="thin">
        <color theme="0"/>
      </right>
      <top/>
      <bottom/>
      <diagonal/>
    </border>
    <border>
      <left style="medium">
        <color theme="0"/>
      </left>
      <right/>
      <top/>
      <bottom/>
      <diagonal/>
    </border>
    <border>
      <left/>
      <right style="medium">
        <color theme="0"/>
      </right>
      <top/>
      <bottom/>
      <diagonal/>
    </border>
    <border>
      <left/>
      <right/>
      <top/>
      <bottom style="thin">
        <color theme="0" tint="-0.14996795556505021"/>
      </bottom>
      <diagonal/>
    </border>
    <border>
      <left/>
      <right/>
      <top/>
      <bottom style="thin">
        <color theme="0" tint="-0.24994659260841701"/>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dashed">
        <color theme="2" tint="-0.24994659260841701"/>
      </left>
      <right style="medium">
        <color theme="0"/>
      </right>
      <top/>
      <bottom/>
      <diagonal/>
    </border>
    <border>
      <left style="medium">
        <color theme="0"/>
      </left>
      <right style="thin">
        <color theme="0"/>
      </right>
      <top style="thin">
        <color theme="0" tint="-0.14996795556505021"/>
      </top>
      <bottom style="thin">
        <color theme="0" tint="-0.14996795556505021"/>
      </bottom>
      <diagonal/>
    </border>
    <border>
      <left style="thin">
        <color theme="0"/>
      </left>
      <right style="thin">
        <color theme="0"/>
      </right>
      <top style="thin">
        <color theme="0" tint="-0.14996795556505021"/>
      </top>
      <bottom style="thin">
        <color theme="0" tint="-0.14996795556505021"/>
      </bottom>
      <diagonal/>
    </border>
    <border>
      <left style="thin">
        <color theme="0"/>
      </left>
      <right style="medium">
        <color theme="0"/>
      </right>
      <top/>
      <bottom style="thin">
        <color theme="0" tint="-0.14996795556505021"/>
      </bottom>
      <diagonal/>
    </border>
    <border>
      <left style="thin">
        <color theme="0"/>
      </left>
      <right style="thin">
        <color theme="0"/>
      </right>
      <top/>
      <bottom style="thin">
        <color theme="0" tint="-0.14996795556505021"/>
      </bottom>
      <diagonal/>
    </border>
    <border>
      <left/>
      <right/>
      <top/>
      <bottom style="thin">
        <color theme="0" tint="-0.14999847407452621"/>
      </bottom>
      <diagonal/>
    </border>
    <border>
      <left style="thin">
        <color theme="0"/>
      </left>
      <right/>
      <top/>
      <bottom style="thin">
        <color theme="0" tint="-0.14996795556505021"/>
      </bottom>
      <diagonal/>
    </border>
    <border>
      <left style="thin">
        <color theme="0"/>
      </left>
      <right/>
      <top/>
      <bottom style="thin">
        <color theme="0" tint="-0.14999847407452621"/>
      </bottom>
      <diagonal/>
    </border>
    <border>
      <left/>
      <right style="thin">
        <color theme="0"/>
      </right>
      <top/>
      <bottom style="thin">
        <color theme="0" tint="-0.14996795556505021"/>
      </bottom>
      <diagonal/>
    </border>
    <border>
      <left/>
      <right style="thin">
        <color theme="0"/>
      </right>
      <top style="thin">
        <color theme="0" tint="-0.14996795556505021"/>
      </top>
      <bottom style="thin">
        <color theme="0" tint="-0.14996795556505021"/>
      </bottom>
      <diagonal/>
    </border>
    <border>
      <left/>
      <right/>
      <top/>
      <bottom style="thin">
        <color theme="2" tint="-9.9948118533890809E-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bottom/>
      <diagonal/>
    </border>
  </borders>
  <cellStyleXfs count="3">
    <xf numFmtId="0" fontId="0" fillId="0" borderId="0"/>
    <xf numFmtId="9" fontId="1" fillId="0" borderId="0" applyFont="0" applyFill="0" applyBorder="0" applyAlignment="0" applyProtection="0"/>
    <xf numFmtId="0" fontId="65" fillId="0" borderId="0" applyNumberFormat="0" applyFill="0" applyBorder="0" applyAlignment="0" applyProtection="0"/>
  </cellStyleXfs>
  <cellXfs count="319">
    <xf numFmtId="0" fontId="0" fillId="0" borderId="0" xfId="0"/>
    <xf numFmtId="0" fontId="0" fillId="2" borderId="0" xfId="0" applyFill="1"/>
    <xf numFmtId="0" fontId="5" fillId="0" borderId="0" xfId="0" applyFont="1"/>
    <xf numFmtId="0" fontId="11" fillId="0" borderId="0" xfId="0" applyFont="1" applyAlignment="1">
      <alignment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3" fillId="0" borderId="0" xfId="0" applyFont="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2" fillId="2" borderId="0" xfId="0" applyFont="1" applyFill="1"/>
    <xf numFmtId="0" fontId="20" fillId="2" borderId="0" xfId="0" applyFont="1" applyFill="1" applyAlignment="1" applyProtection="1">
      <alignment vertical="center" wrapText="1"/>
      <protection hidden="1"/>
    </xf>
    <xf numFmtId="0" fontId="16" fillId="2" borderId="0" xfId="0" applyFont="1" applyFill="1" applyAlignment="1" applyProtection="1">
      <alignment vertical="center" wrapText="1"/>
      <protection hidden="1"/>
    </xf>
    <xf numFmtId="0" fontId="20" fillId="0" borderId="0" xfId="0" applyFont="1" applyAlignment="1" applyProtection="1">
      <alignment vertical="center" wrapText="1"/>
      <protection hidden="1"/>
    </xf>
    <xf numFmtId="0" fontId="17" fillId="2" borderId="0" xfId="0" applyFont="1" applyFill="1"/>
    <xf numFmtId="0" fontId="8" fillId="2" borderId="0" xfId="0" applyFont="1" applyFill="1" applyAlignment="1">
      <alignment vertical="center" wrapText="1"/>
    </xf>
    <xf numFmtId="0" fontId="3" fillId="2" borderId="0" xfId="0" applyFont="1" applyFill="1"/>
    <xf numFmtId="0" fontId="10" fillId="2" borderId="0" xfId="0" applyFont="1" applyFill="1" applyAlignment="1">
      <alignment horizontal="center" vertical="center" wrapText="1"/>
    </xf>
    <xf numFmtId="0" fontId="4" fillId="2" borderId="0" xfId="0" applyFont="1" applyFill="1"/>
    <xf numFmtId="10" fontId="0" fillId="2" borderId="0" xfId="0" applyNumberFormat="1" applyFill="1"/>
    <xf numFmtId="0" fontId="17" fillId="0" borderId="0" xfId="0" applyFont="1"/>
    <xf numFmtId="0" fontId="16" fillId="0" borderId="0" xfId="0" applyFont="1" applyAlignment="1" applyProtection="1">
      <alignment vertical="center" wrapText="1"/>
      <protection hidden="1"/>
    </xf>
    <xf numFmtId="0" fontId="8" fillId="0" borderId="0" xfId="0" applyFont="1" applyAlignment="1">
      <alignment vertical="center" wrapText="1"/>
    </xf>
    <xf numFmtId="0" fontId="9" fillId="0" borderId="0" xfId="0" applyFont="1" applyAlignment="1">
      <alignment vertical="center" wrapText="1"/>
    </xf>
    <xf numFmtId="0" fontId="2" fillId="0" borderId="0" xfId="0" applyFont="1"/>
    <xf numFmtId="0" fontId="12" fillId="9" borderId="0" xfId="0" applyFont="1" applyFill="1" applyAlignment="1">
      <alignment horizontal="center" vertical="center" wrapText="1"/>
    </xf>
    <xf numFmtId="0" fontId="23" fillId="2" borderId="0" xfId="0" applyFont="1" applyFill="1"/>
    <xf numFmtId="0" fontId="25" fillId="2" borderId="0" xfId="0" applyFont="1" applyFill="1" applyAlignment="1">
      <alignment horizontal="center" vertical="center" wrapText="1"/>
    </xf>
    <xf numFmtId="0" fontId="26" fillId="2" borderId="0" xfId="0" applyFont="1" applyFill="1"/>
    <xf numFmtId="0" fontId="24" fillId="2" borderId="0" xfId="0" applyFont="1" applyFill="1" applyAlignment="1">
      <alignment horizontal="center" wrapText="1"/>
    </xf>
    <xf numFmtId="0" fontId="27" fillId="2" borderId="0" xfId="0" applyFont="1" applyFill="1" applyAlignment="1">
      <alignment horizontal="center" wrapText="1"/>
    </xf>
    <xf numFmtId="0" fontId="24" fillId="2" borderId="0" xfId="0" applyFont="1" applyFill="1" applyAlignment="1">
      <alignment wrapText="1"/>
    </xf>
    <xf numFmtId="0" fontId="24" fillId="2" borderId="0" xfId="0" applyFont="1" applyFill="1"/>
    <xf numFmtId="0" fontId="27" fillId="2" borderId="0" xfId="0" applyFont="1" applyFill="1" applyAlignment="1">
      <alignment horizontal="center" vertical="center" wrapText="1"/>
    </xf>
    <xf numFmtId="0" fontId="30" fillId="2" borderId="0" xfId="0" applyFont="1" applyFill="1"/>
    <xf numFmtId="0" fontId="31" fillId="2" borderId="0" xfId="0" applyFont="1" applyFill="1"/>
    <xf numFmtId="0" fontId="28" fillId="2" borderId="0" xfId="0" applyFont="1" applyFill="1"/>
    <xf numFmtId="0" fontId="27" fillId="2" borderId="0" xfId="0" applyFont="1" applyFill="1"/>
    <xf numFmtId="0" fontId="24" fillId="2" borderId="0" xfId="0" applyFont="1" applyFill="1" applyAlignment="1">
      <alignment vertical="center"/>
    </xf>
    <xf numFmtId="0" fontId="28" fillId="7" borderId="0" xfId="0" applyFont="1" applyFill="1" applyAlignment="1">
      <alignment horizontal="center" vertical="center"/>
    </xf>
    <xf numFmtId="164" fontId="24" fillId="7" borderId="0" xfId="1" applyNumberFormat="1" applyFont="1" applyFill="1" applyAlignment="1">
      <alignment horizontal="center" vertical="center"/>
    </xf>
    <xf numFmtId="0" fontId="32" fillId="7" borderId="0" xfId="0" applyFont="1" applyFill="1" applyAlignment="1">
      <alignment horizontal="center" vertical="center"/>
    </xf>
    <xf numFmtId="164" fontId="24" fillId="7" borderId="0" xfId="1" applyNumberFormat="1" applyFont="1" applyFill="1" applyAlignment="1"/>
    <xf numFmtId="0" fontId="24" fillId="13" borderId="0" xfId="0" applyFont="1" applyFill="1" applyAlignment="1">
      <alignment horizontal="right" vertical="center"/>
    </xf>
    <xf numFmtId="0" fontId="20" fillId="7" borderId="0" xfId="0" applyFont="1" applyFill="1" applyAlignment="1">
      <alignment horizontal="center" vertical="center"/>
    </xf>
    <xf numFmtId="0" fontId="24" fillId="2" borderId="0" xfId="0" applyFont="1" applyFill="1" applyAlignment="1">
      <alignment horizontal="left" wrapText="1"/>
    </xf>
    <xf numFmtId="0" fontId="33" fillId="7" borderId="0" xfId="0" applyFont="1" applyFill="1" applyAlignment="1">
      <alignment horizontal="left" vertical="center" wrapText="1"/>
    </xf>
    <xf numFmtId="0" fontId="27" fillId="15" borderId="0" xfId="0" applyFont="1" applyFill="1" applyAlignment="1">
      <alignment horizontal="center" vertical="center" wrapText="1"/>
    </xf>
    <xf numFmtId="164" fontId="24" fillId="15" borderId="0" xfId="0" applyNumberFormat="1" applyFont="1" applyFill="1" applyAlignment="1">
      <alignment horizontal="center" vertical="center" wrapText="1"/>
    </xf>
    <xf numFmtId="0" fontId="28" fillId="15" borderId="0" xfId="0" applyFont="1" applyFill="1" applyAlignment="1">
      <alignment horizontal="center" vertical="center"/>
    </xf>
    <xf numFmtId="0" fontId="24" fillId="15" borderId="0" xfId="0" applyFont="1" applyFill="1" applyAlignment="1">
      <alignment vertical="center" wrapText="1"/>
    </xf>
    <xf numFmtId="0" fontId="27" fillId="16" borderId="0" xfId="0" applyFont="1" applyFill="1" applyAlignment="1">
      <alignment horizontal="center" vertical="center" wrapText="1"/>
    </xf>
    <xf numFmtId="164" fontId="24" fillId="16" borderId="0" xfId="1" applyNumberFormat="1" applyFont="1" applyFill="1" applyAlignment="1">
      <alignment horizontal="center" vertical="center"/>
    </xf>
    <xf numFmtId="0" fontId="24" fillId="16" borderId="0" xfId="0" applyFont="1" applyFill="1" applyAlignment="1">
      <alignment horizontal="center" vertical="center" wrapText="1"/>
    </xf>
    <xf numFmtId="0" fontId="24" fillId="16" borderId="0" xfId="0" applyFont="1" applyFill="1" applyAlignment="1">
      <alignment horizontal="left" vertical="center" wrapText="1"/>
    </xf>
    <xf numFmtId="0" fontId="12" fillId="3" borderId="4"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32" fillId="7" borderId="4" xfId="0" applyFont="1" applyFill="1" applyBorder="1" applyAlignment="1">
      <alignment horizontal="center" vertical="center"/>
    </xf>
    <xf numFmtId="0" fontId="20" fillId="7" borderId="4" xfId="0" applyFont="1" applyFill="1" applyBorder="1" applyAlignment="1">
      <alignment horizontal="center" vertical="center"/>
    </xf>
    <xf numFmtId="0" fontId="33" fillId="7" borderId="4" xfId="0" applyFont="1" applyFill="1" applyBorder="1" applyAlignment="1">
      <alignment horizontal="left" vertical="center" wrapText="1"/>
    </xf>
    <xf numFmtId="0" fontId="23" fillId="2" borderId="4" xfId="0" applyFont="1" applyFill="1" applyBorder="1"/>
    <xf numFmtId="0" fontId="23" fillId="2" borderId="12" xfId="0" applyFont="1" applyFill="1" applyBorder="1"/>
    <xf numFmtId="0" fontId="19" fillId="2" borderId="7" xfId="0" applyFont="1" applyFill="1" applyBorder="1" applyAlignment="1" applyProtection="1">
      <alignment vertical="center" wrapText="1"/>
      <protection hidden="1"/>
    </xf>
    <xf numFmtId="0" fontId="29" fillId="2" borderId="0" xfId="0" applyFont="1" applyFill="1" applyAlignment="1" applyProtection="1">
      <alignment vertical="center" wrapText="1"/>
      <protection hidden="1"/>
    </xf>
    <xf numFmtId="0" fontId="24" fillId="2" borderId="0" xfId="0" applyFont="1" applyFill="1" applyAlignment="1" applyProtection="1">
      <alignment vertical="center" wrapText="1"/>
      <protection hidden="1"/>
    </xf>
    <xf numFmtId="0" fontId="24" fillId="2" borderId="6" xfId="0" applyFont="1" applyFill="1" applyBorder="1" applyAlignment="1">
      <alignment horizontal="left" wrapText="1"/>
    </xf>
    <xf numFmtId="0" fontId="12" fillId="3" borderId="0" xfId="0" applyFont="1" applyFill="1" applyAlignment="1">
      <alignment horizontal="center" vertical="center" wrapText="1"/>
    </xf>
    <xf numFmtId="0" fontId="22" fillId="16" borderId="0" xfId="0" applyFont="1" applyFill="1" applyAlignment="1">
      <alignment horizontal="left" vertical="center" wrapText="1"/>
    </xf>
    <xf numFmtId="0" fontId="35" fillId="2" borderId="0" xfId="0" applyFont="1" applyFill="1" applyAlignment="1">
      <alignment horizontal="center" wrapText="1"/>
    </xf>
    <xf numFmtId="0" fontId="20" fillId="15" borderId="0" xfId="0" applyFont="1" applyFill="1" applyAlignment="1">
      <alignment horizontal="center" vertical="center" wrapText="1"/>
    </xf>
    <xf numFmtId="0" fontId="2" fillId="2" borderId="4" xfId="0" applyFont="1" applyFill="1" applyBorder="1"/>
    <xf numFmtId="0" fontId="2" fillId="2" borderId="5" xfId="0" applyFont="1" applyFill="1" applyBorder="1"/>
    <xf numFmtId="0" fontId="4" fillId="6" borderId="14" xfId="0" applyFont="1" applyFill="1" applyBorder="1" applyAlignment="1" applyProtection="1">
      <alignment horizontal="left" vertical="center" wrapText="1" indent="1"/>
      <protection hidden="1"/>
    </xf>
    <xf numFmtId="164" fontId="4" fillId="6" borderId="14" xfId="1" applyNumberFormat="1" applyFont="1" applyFill="1" applyBorder="1" applyAlignment="1" applyProtection="1">
      <alignment horizontal="center" vertical="center" wrapText="1"/>
      <protection hidden="1"/>
    </xf>
    <xf numFmtId="0" fontId="7" fillId="5" borderId="14" xfId="0" applyFont="1" applyFill="1" applyBorder="1" applyAlignment="1" applyProtection="1">
      <alignment horizontal="left" vertical="center" wrapText="1" indent="1"/>
      <protection hidden="1"/>
    </xf>
    <xf numFmtId="164" fontId="7" fillId="5" borderId="14" xfId="1" applyNumberFormat="1" applyFont="1" applyFill="1" applyBorder="1" applyAlignment="1" applyProtection="1">
      <alignment horizontal="center" vertical="center" wrapText="1"/>
      <protection hidden="1"/>
    </xf>
    <xf numFmtId="0" fontId="37" fillId="16" borderId="0" xfId="0" applyFont="1" applyFill="1" applyAlignment="1">
      <alignment horizontal="center" vertical="center"/>
    </xf>
    <xf numFmtId="0" fontId="4" fillId="6" borderId="6" xfId="1" applyNumberFormat="1" applyFont="1" applyFill="1" applyBorder="1" applyAlignment="1" applyProtection="1">
      <alignment horizontal="center" vertical="center" wrapText="1"/>
      <protection hidden="1"/>
    </xf>
    <xf numFmtId="164" fontId="4" fillId="6" borderId="15" xfId="1" applyNumberFormat="1" applyFont="1" applyFill="1" applyBorder="1" applyAlignment="1" applyProtection="1">
      <alignment horizontal="center" vertical="center" wrapText="1"/>
      <protection hidden="1"/>
    </xf>
    <xf numFmtId="164" fontId="4" fillId="6" borderId="6" xfId="1" applyNumberFormat="1" applyFont="1" applyFill="1" applyBorder="1" applyAlignment="1" applyProtection="1">
      <alignment horizontal="center" vertical="center" wrapText="1"/>
      <protection hidden="1"/>
    </xf>
    <xf numFmtId="1" fontId="4" fillId="6" borderId="6" xfId="1" applyNumberFormat="1" applyFont="1" applyFill="1" applyBorder="1" applyAlignment="1" applyProtection="1">
      <alignment horizontal="center" vertical="center" wrapText="1"/>
      <protection hidden="1"/>
    </xf>
    <xf numFmtId="0" fontId="18" fillId="2" borderId="0" xfId="0" applyFont="1" applyFill="1" applyAlignment="1" applyProtection="1">
      <alignment wrapText="1"/>
      <protection hidden="1"/>
    </xf>
    <xf numFmtId="0" fontId="19" fillId="2" borderId="6" xfId="0" applyFont="1" applyFill="1" applyBorder="1" applyAlignment="1" applyProtection="1">
      <alignment vertical="top" wrapText="1"/>
      <protection hidden="1"/>
    </xf>
    <xf numFmtId="0" fontId="15" fillId="8" borderId="0" xfId="0" applyFont="1" applyFill="1" applyAlignment="1" applyProtection="1">
      <alignment horizontal="center" vertical="center"/>
      <protection hidden="1"/>
    </xf>
    <xf numFmtId="1" fontId="15" fillId="10" borderId="9" xfId="1" applyNumberFormat="1" applyFont="1" applyFill="1" applyBorder="1" applyAlignment="1" applyProtection="1">
      <alignment horizontal="center" vertical="center"/>
      <protection hidden="1"/>
    </xf>
    <xf numFmtId="164" fontId="15" fillId="11" borderId="0" xfId="1" applyNumberFormat="1" applyFont="1" applyFill="1" applyBorder="1" applyAlignment="1" applyProtection="1">
      <alignment horizontal="center" vertical="center"/>
      <protection hidden="1"/>
    </xf>
    <xf numFmtId="1" fontId="15" fillId="11" borderId="0" xfId="1" applyNumberFormat="1" applyFont="1" applyFill="1" applyAlignment="1" applyProtection="1">
      <alignment horizontal="center" vertical="center"/>
      <protection hidden="1"/>
    </xf>
    <xf numFmtId="1" fontId="15" fillId="10" borderId="10" xfId="1" applyNumberFormat="1" applyFont="1" applyFill="1" applyBorder="1" applyAlignment="1" applyProtection="1">
      <alignment horizontal="center" vertical="center"/>
      <protection hidden="1"/>
    </xf>
    <xf numFmtId="0" fontId="39" fillId="2" borderId="0" xfId="0" applyFont="1" applyFill="1"/>
    <xf numFmtId="164" fontId="4" fillId="6" borderId="18" xfId="1" applyNumberFormat="1" applyFont="1" applyFill="1" applyBorder="1" applyAlignment="1" applyProtection="1">
      <alignment horizontal="center" vertical="center" wrapText="1"/>
      <protection hidden="1"/>
    </xf>
    <xf numFmtId="0" fontId="14" fillId="17" borderId="0" xfId="0" applyFont="1" applyFill="1" applyAlignment="1" applyProtection="1">
      <alignment horizontal="center" vertical="center" wrapText="1"/>
      <protection hidden="1"/>
    </xf>
    <xf numFmtId="0" fontId="14" fillId="16" borderId="0" xfId="0" applyFont="1" applyFill="1" applyAlignment="1" applyProtection="1">
      <alignment horizontal="center" vertical="center" wrapText="1"/>
      <protection hidden="1"/>
    </xf>
    <xf numFmtId="0" fontId="36" fillId="0" borderId="0" xfId="0" applyFont="1"/>
    <xf numFmtId="165" fontId="24" fillId="16" borderId="0" xfId="0" applyNumberFormat="1" applyFont="1" applyFill="1" applyAlignment="1">
      <alignment horizontal="left" vertical="center" wrapText="1"/>
    </xf>
    <xf numFmtId="0" fontId="42" fillId="2" borderId="0" xfId="0" applyFont="1" applyFill="1"/>
    <xf numFmtId="0" fontId="41" fillId="0" borderId="17" xfId="0" applyFont="1" applyBorder="1"/>
    <xf numFmtId="0" fontId="41" fillId="0" borderId="19" xfId="0" applyFont="1" applyBorder="1"/>
    <xf numFmtId="164" fontId="0" fillId="0" borderId="0" xfId="1" applyNumberFormat="1" applyFont="1"/>
    <xf numFmtId="9" fontId="0" fillId="0" borderId="0" xfId="0" applyNumberFormat="1"/>
    <xf numFmtId="164" fontId="0" fillId="0" borderId="0" xfId="0" applyNumberFormat="1"/>
    <xf numFmtId="1" fontId="0" fillId="0" borderId="0" xfId="1" applyNumberFormat="1" applyFont="1"/>
    <xf numFmtId="2" fontId="7" fillId="2" borderId="13" xfId="0" applyNumberFormat="1" applyFont="1" applyFill="1" applyBorder="1" applyAlignment="1">
      <alignment horizontal="center" vertical="center"/>
    </xf>
    <xf numFmtId="0" fontId="27" fillId="4" borderId="0" xfId="0" applyFont="1" applyFill="1" applyAlignment="1">
      <alignment horizontal="center" vertical="center" wrapText="1"/>
    </xf>
    <xf numFmtId="0" fontId="43" fillId="2" borderId="12" xfId="0" applyFont="1" applyFill="1" applyBorder="1"/>
    <xf numFmtId="0" fontId="28" fillId="0" borderId="17" xfId="0" applyFont="1" applyBorder="1" applyAlignment="1">
      <alignment horizontal="center" vertical="center"/>
    </xf>
    <xf numFmtId="0" fontId="4" fillId="6" borderId="16" xfId="1" applyNumberFormat="1" applyFont="1" applyFill="1" applyBorder="1" applyAlignment="1" applyProtection="1">
      <alignment horizontal="center" vertical="center" wrapText="1"/>
      <protection hidden="1"/>
    </xf>
    <xf numFmtId="9" fontId="0" fillId="0" borderId="0" xfId="1" applyFont="1"/>
    <xf numFmtId="0" fontId="44" fillId="0" borderId="0" xfId="0" applyFont="1" applyAlignment="1">
      <alignment wrapText="1"/>
    </xf>
    <xf numFmtId="0" fontId="44" fillId="0" borderId="0" xfId="0" applyFont="1"/>
    <xf numFmtId="0" fontId="46" fillId="2" borderId="0" xfId="0" applyFont="1" applyFill="1" applyAlignment="1" applyProtection="1">
      <alignment vertical="center" wrapText="1"/>
      <protection hidden="1"/>
    </xf>
    <xf numFmtId="0" fontId="46" fillId="2" borderId="6" xfId="0" applyFont="1" applyFill="1" applyBorder="1" applyAlignment="1" applyProtection="1">
      <alignment horizontal="left" vertical="center" wrapText="1" indent="14"/>
      <protection hidden="1"/>
    </xf>
    <xf numFmtId="0" fontId="48" fillId="2" borderId="0" xfId="0" applyFont="1" applyFill="1" applyAlignment="1" applyProtection="1">
      <alignment horizontal="right" wrapText="1"/>
      <protection hidden="1"/>
    </xf>
    <xf numFmtId="0" fontId="47" fillId="16" borderId="0" xfId="0" applyFont="1" applyFill="1" applyAlignment="1">
      <alignment horizontal="center" vertical="center" wrapText="1"/>
    </xf>
    <xf numFmtId="0" fontId="0" fillId="0" borderId="0" xfId="0" applyAlignment="1">
      <alignment horizontal="left" vertical="center"/>
    </xf>
    <xf numFmtId="0" fontId="44" fillId="0" borderId="0" xfId="0" applyFont="1" applyAlignment="1">
      <alignment horizontal="left" vertical="center" wrapText="1"/>
    </xf>
    <xf numFmtId="0" fontId="0" fillId="7" borderId="0" xfId="0" applyFill="1"/>
    <xf numFmtId="0" fontId="52" fillId="5" borderId="14" xfId="0" applyFont="1" applyFill="1" applyBorder="1" applyAlignment="1" applyProtection="1">
      <alignment horizontal="left" vertical="center" wrapText="1" indent="1"/>
      <protection hidden="1"/>
    </xf>
    <xf numFmtId="164" fontId="24" fillId="7" borderId="0" xfId="1" applyNumberFormat="1" applyFont="1" applyFill="1"/>
    <xf numFmtId="0" fontId="37" fillId="0" borderId="20" xfId="0" applyFont="1" applyBorder="1" applyAlignment="1">
      <alignment horizontal="center" vertical="center"/>
    </xf>
    <xf numFmtId="0" fontId="37" fillId="0" borderId="21" xfId="0" applyFont="1" applyBorder="1" applyAlignment="1">
      <alignment horizontal="center" vertical="center"/>
    </xf>
    <xf numFmtId="0" fontId="7" fillId="8" borderId="0" xfId="0" applyFont="1" applyFill="1" applyAlignment="1" applyProtection="1">
      <alignment horizontal="center" vertical="center" wrapText="1"/>
      <protection hidden="1"/>
    </xf>
    <xf numFmtId="0" fontId="56" fillId="3" borderId="0" xfId="0" applyFont="1" applyFill="1" applyAlignment="1" applyProtection="1">
      <alignment horizontal="center" vertical="center" wrapText="1"/>
      <protection hidden="1"/>
    </xf>
    <xf numFmtId="0" fontId="57" fillId="17" borderId="0" xfId="0" applyFont="1" applyFill="1" applyAlignment="1" applyProtection="1">
      <alignment horizontal="center" vertical="center" wrapText="1"/>
      <protection hidden="1"/>
    </xf>
    <xf numFmtId="0" fontId="58" fillId="10" borderId="0" xfId="0" applyFont="1" applyFill="1" applyAlignment="1" applyProtection="1">
      <alignment horizontal="center" vertical="center" wrapText="1"/>
      <protection hidden="1"/>
    </xf>
    <xf numFmtId="0" fontId="59" fillId="11" borderId="0" xfId="0" applyFont="1" applyFill="1" applyAlignment="1" applyProtection="1">
      <alignment horizontal="center" vertical="center" wrapText="1"/>
      <protection hidden="1"/>
    </xf>
    <xf numFmtId="0" fontId="60" fillId="18" borderId="0" xfId="0" applyFont="1" applyFill="1" applyAlignment="1" applyProtection="1">
      <alignment horizontal="center" vertical="center" wrapText="1"/>
      <protection hidden="1"/>
    </xf>
    <xf numFmtId="0" fontId="19" fillId="2" borderId="22" xfId="0" applyFont="1" applyFill="1" applyBorder="1" applyAlignment="1" applyProtection="1">
      <alignment vertical="top" wrapText="1"/>
      <protection hidden="1"/>
    </xf>
    <xf numFmtId="0" fontId="44" fillId="2" borderId="0" xfId="0" applyFont="1" applyFill="1"/>
    <xf numFmtId="0" fontId="45" fillId="2" borderId="0" xfId="0" applyFont="1" applyFill="1" applyAlignment="1">
      <alignment horizontal="right" vertical="center"/>
    </xf>
    <xf numFmtId="0" fontId="44" fillId="2" borderId="0" xfId="0" applyFont="1" applyFill="1" applyAlignment="1">
      <alignment vertical="center"/>
    </xf>
    <xf numFmtId="0" fontId="45" fillId="2" borderId="0" xfId="0" applyFont="1" applyFill="1" applyAlignment="1">
      <alignment horizontal="right" vertical="center" wrapText="1"/>
    </xf>
    <xf numFmtId="0" fontId="44" fillId="2" borderId="0" xfId="0" applyFont="1" applyFill="1" applyAlignment="1">
      <alignment horizontal="left" vertical="center"/>
    </xf>
    <xf numFmtId="0" fontId="0" fillId="2" borderId="0" xfId="0" applyFill="1" applyAlignment="1">
      <alignment horizontal="left" vertical="center"/>
    </xf>
    <xf numFmtId="0" fontId="44" fillId="2" borderId="0" xfId="0" applyFont="1" applyFill="1" applyAlignment="1">
      <alignment horizontal="left" vertical="center" wrapText="1"/>
    </xf>
    <xf numFmtId="0" fontId="44" fillId="2" borderId="0" xfId="0" applyFont="1" applyFill="1" applyAlignment="1">
      <alignment wrapText="1"/>
    </xf>
    <xf numFmtId="0" fontId="44" fillId="0" borderId="0" xfId="0" applyFont="1" applyAlignment="1">
      <alignment vertical="center" wrapText="1"/>
    </xf>
    <xf numFmtId="0" fontId="44" fillId="2" borderId="0" xfId="0" applyFont="1" applyFill="1" applyAlignment="1">
      <alignment vertical="center" wrapText="1"/>
    </xf>
    <xf numFmtId="0" fontId="4" fillId="4" borderId="0" xfId="0" applyFont="1" applyFill="1" applyAlignment="1">
      <alignment vertical="center" wrapText="1"/>
    </xf>
    <xf numFmtId="0" fontId="61" fillId="16" borderId="0" xfId="0" applyFont="1" applyFill="1" applyAlignment="1" applyProtection="1">
      <alignment horizontal="center" vertical="center" wrapText="1"/>
      <protection hidden="1"/>
    </xf>
    <xf numFmtId="0" fontId="62" fillId="16" borderId="0" xfId="0" applyFont="1" applyFill="1" applyAlignment="1" applyProtection="1">
      <alignment horizontal="center" vertical="center" wrapText="1"/>
      <protection hidden="1"/>
    </xf>
    <xf numFmtId="166" fontId="63" fillId="16" borderId="0" xfId="0" applyNumberFormat="1" applyFont="1" applyFill="1" applyAlignment="1" applyProtection="1">
      <alignment horizontal="center" vertical="center" wrapText="1"/>
      <protection hidden="1"/>
    </xf>
    <xf numFmtId="0" fontId="28" fillId="2" borderId="17" xfId="0" applyFont="1" applyFill="1" applyBorder="1" applyAlignment="1">
      <alignment horizontal="center" vertical="center"/>
    </xf>
    <xf numFmtId="0" fontId="53" fillId="2" borderId="0" xfId="0" applyFont="1" applyFill="1"/>
    <xf numFmtId="0" fontId="53" fillId="2" borderId="19" xfId="0" applyFont="1" applyFill="1" applyBorder="1"/>
    <xf numFmtId="0" fontId="28" fillId="2" borderId="21" xfId="0" applyFont="1" applyFill="1" applyBorder="1" applyAlignment="1">
      <alignment horizontal="center" vertical="center"/>
    </xf>
    <xf numFmtId="0" fontId="36" fillId="2" borderId="0" xfId="0" applyFont="1" applyFill="1"/>
    <xf numFmtId="0" fontId="47" fillId="2" borderId="0" xfId="0" applyFont="1" applyFill="1" applyProtection="1">
      <protection hidden="1"/>
    </xf>
    <xf numFmtId="0" fontId="54" fillId="2" borderId="0" xfId="0" applyFont="1" applyFill="1" applyAlignment="1" applyProtection="1">
      <alignment wrapText="1"/>
      <protection hidden="1"/>
    </xf>
    <xf numFmtId="0" fontId="20" fillId="2" borderId="6" xfId="0" applyFont="1" applyFill="1" applyBorder="1" applyAlignment="1" applyProtection="1">
      <alignment vertical="top"/>
      <protection hidden="1"/>
    </xf>
    <xf numFmtId="0" fontId="55" fillId="2" borderId="6" xfId="0" applyFont="1" applyFill="1" applyBorder="1" applyAlignment="1" applyProtection="1">
      <alignment horizontal="right" vertical="center"/>
      <protection hidden="1"/>
    </xf>
    <xf numFmtId="0" fontId="27" fillId="2" borderId="22" xfId="0" applyFont="1" applyFill="1" applyBorder="1" applyAlignment="1" applyProtection="1">
      <alignment horizontal="right" vertical="center" wrapText="1"/>
      <protection hidden="1"/>
    </xf>
    <xf numFmtId="0" fontId="24" fillId="2" borderId="6" xfId="0" applyFont="1" applyFill="1" applyBorder="1" applyAlignment="1" applyProtection="1">
      <alignment vertical="center" wrapText="1"/>
      <protection hidden="1"/>
    </xf>
    <xf numFmtId="0" fontId="46" fillId="2" borderId="0" xfId="0" applyFont="1" applyFill="1" applyAlignment="1" applyProtection="1">
      <alignment horizontal="left" vertical="center" wrapText="1" indent="14"/>
      <protection hidden="1"/>
    </xf>
    <xf numFmtId="0" fontId="64" fillId="2" borderId="0" xfId="0" applyFont="1" applyFill="1"/>
    <xf numFmtId="0" fontId="37" fillId="2" borderId="20" xfId="0" applyFont="1" applyFill="1" applyBorder="1" applyAlignment="1">
      <alignment horizontal="center" vertical="center"/>
    </xf>
    <xf numFmtId="0" fontId="41" fillId="2" borderId="19" xfId="0" applyFont="1" applyFill="1" applyBorder="1"/>
    <xf numFmtId="0" fontId="41" fillId="2" borderId="17" xfId="0" applyFont="1" applyFill="1" applyBorder="1"/>
    <xf numFmtId="0" fontId="37" fillId="2" borderId="21" xfId="0" applyFont="1" applyFill="1" applyBorder="1" applyAlignment="1">
      <alignment horizontal="center" vertical="center"/>
    </xf>
    <xf numFmtId="0" fontId="27" fillId="4" borderId="4" xfId="0" applyFont="1" applyFill="1" applyBorder="1" applyAlignment="1">
      <alignment horizontal="center" vertical="center" wrapText="1"/>
    </xf>
    <xf numFmtId="0" fontId="27" fillId="4" borderId="5" xfId="0" applyFont="1" applyFill="1" applyBorder="1" applyAlignment="1">
      <alignment horizontal="center" vertical="center" wrapText="1"/>
    </xf>
    <xf numFmtId="10" fontId="0" fillId="0" borderId="0" xfId="1" applyNumberFormat="1" applyFont="1"/>
    <xf numFmtId="164" fontId="4" fillId="6" borderId="14" xfId="1" applyNumberFormat="1" applyFont="1" applyFill="1" applyBorder="1" applyAlignment="1" applyProtection="1">
      <alignment horizontal="left" vertical="center" wrapText="1"/>
      <protection hidden="1"/>
    </xf>
    <xf numFmtId="9" fontId="0" fillId="2" borderId="0" xfId="0" applyNumberFormat="1" applyFill="1"/>
    <xf numFmtId="9" fontId="0" fillId="2" borderId="0" xfId="1" applyFont="1" applyFill="1"/>
    <xf numFmtId="0" fontId="69" fillId="2" borderId="0" xfId="0" applyFont="1" applyFill="1" applyAlignment="1">
      <alignment horizontal="center" wrapText="1"/>
    </xf>
    <xf numFmtId="0" fontId="33" fillId="7" borderId="4" xfId="0" quotePrefix="1" applyFont="1" applyFill="1" applyBorder="1" applyAlignment="1">
      <alignment horizontal="left" vertical="center" wrapText="1"/>
    </xf>
    <xf numFmtId="164" fontId="71" fillId="2" borderId="0" xfId="0" applyNumberFormat="1" applyFont="1" applyFill="1" applyAlignment="1">
      <alignment horizontal="center" vertical="center"/>
    </xf>
    <xf numFmtId="0" fontId="17" fillId="2" borderId="0" xfId="0" applyFont="1" applyFill="1" applyAlignment="1">
      <alignment horizontal="center" vertical="center"/>
    </xf>
    <xf numFmtId="164" fontId="72" fillId="2" borderId="0" xfId="0" applyNumberFormat="1" applyFont="1" applyFill="1" applyAlignment="1">
      <alignment horizontal="center" vertical="center"/>
    </xf>
    <xf numFmtId="2" fontId="52" fillId="2" borderId="13" xfId="0" applyNumberFormat="1" applyFont="1" applyFill="1" applyBorder="1" applyAlignment="1">
      <alignment horizontal="center" vertical="center"/>
    </xf>
    <xf numFmtId="2" fontId="73" fillId="2" borderId="13" xfId="0" applyNumberFormat="1" applyFont="1" applyFill="1" applyBorder="1" applyAlignment="1">
      <alignment horizontal="center" vertical="center"/>
    </xf>
    <xf numFmtId="0" fontId="74" fillId="6" borderId="14" xfId="0" applyFont="1" applyFill="1" applyBorder="1" applyAlignment="1" applyProtection="1">
      <alignment horizontal="left" vertical="center" wrapText="1" indent="1"/>
      <protection hidden="1"/>
    </xf>
    <xf numFmtId="164" fontId="73" fillId="5" borderId="14" xfId="1" applyNumberFormat="1" applyFont="1" applyFill="1" applyBorder="1" applyAlignment="1" applyProtection="1">
      <alignment horizontal="center" vertical="center" wrapText="1"/>
      <protection hidden="1"/>
    </xf>
    <xf numFmtId="0" fontId="74" fillId="6" borderId="6" xfId="1" applyNumberFormat="1" applyFont="1" applyFill="1" applyBorder="1" applyAlignment="1" applyProtection="1">
      <alignment horizontal="center" vertical="center" wrapText="1"/>
      <protection hidden="1"/>
    </xf>
    <xf numFmtId="164" fontId="74" fillId="6" borderId="18" xfId="1" applyNumberFormat="1" applyFont="1" applyFill="1" applyBorder="1" applyAlignment="1" applyProtection="1">
      <alignment horizontal="center" vertical="center" wrapText="1"/>
      <protection hidden="1"/>
    </xf>
    <xf numFmtId="164" fontId="74" fillId="6" borderId="15" xfId="1" applyNumberFormat="1" applyFont="1" applyFill="1" applyBorder="1" applyAlignment="1" applyProtection="1">
      <alignment horizontal="center" vertical="center" wrapText="1"/>
      <protection hidden="1"/>
    </xf>
    <xf numFmtId="164" fontId="74" fillId="6" borderId="6" xfId="1" applyNumberFormat="1" applyFont="1" applyFill="1" applyBorder="1" applyAlignment="1" applyProtection="1">
      <alignment horizontal="center" vertical="center" wrapText="1"/>
      <protection hidden="1"/>
    </xf>
    <xf numFmtId="0" fontId="28" fillId="2" borderId="20" xfId="0" applyFont="1" applyFill="1" applyBorder="1" applyAlignment="1">
      <alignment horizontal="center" vertical="center"/>
    </xf>
    <xf numFmtId="0" fontId="74" fillId="6" borderId="16" xfId="1" applyNumberFormat="1" applyFont="1" applyFill="1" applyBorder="1" applyAlignment="1" applyProtection="1">
      <alignment horizontal="center" vertical="center" wrapText="1"/>
      <protection hidden="1"/>
    </xf>
    <xf numFmtId="1" fontId="74" fillId="6" borderId="6" xfId="1" applyNumberFormat="1" applyFont="1" applyFill="1" applyBorder="1" applyAlignment="1" applyProtection="1">
      <alignment horizontal="center" vertical="center" wrapText="1"/>
      <protection hidden="1"/>
    </xf>
    <xf numFmtId="0" fontId="73" fillId="2" borderId="13" xfId="0" applyFont="1" applyFill="1" applyBorder="1" applyAlignment="1">
      <alignment horizontal="center" vertical="center"/>
    </xf>
    <xf numFmtId="164" fontId="74" fillId="6" borderId="14" xfId="1" applyNumberFormat="1" applyFont="1" applyFill="1" applyBorder="1" applyAlignment="1" applyProtection="1">
      <alignment horizontal="center" vertical="center" wrapText="1"/>
      <protection hidden="1"/>
    </xf>
    <xf numFmtId="0" fontId="73" fillId="5" borderId="14" xfId="0" applyFont="1" applyFill="1" applyBorder="1" applyAlignment="1" applyProtection="1">
      <alignment horizontal="left" vertical="center" wrapText="1" indent="1"/>
      <protection hidden="1"/>
    </xf>
    <xf numFmtId="0" fontId="0" fillId="0" borderId="0" xfId="0" applyAlignment="1">
      <alignment horizontal="center"/>
    </xf>
    <xf numFmtId="9" fontId="0" fillId="0" borderId="0" xfId="1" applyFont="1" applyAlignment="1">
      <alignment horizontal="center"/>
    </xf>
    <xf numFmtId="0" fontId="0" fillId="0" borderId="0" xfId="0" applyAlignment="1">
      <alignment horizontal="center" vertical="center"/>
    </xf>
    <xf numFmtId="0" fontId="13" fillId="18" borderId="0" xfId="0" applyFont="1" applyFill="1" applyAlignment="1" applyProtection="1">
      <alignment horizontal="center" vertical="center" wrapText="1"/>
      <protection hidden="1"/>
    </xf>
    <xf numFmtId="0" fontId="60" fillId="19" borderId="0" xfId="0" applyFont="1" applyFill="1" applyAlignment="1" applyProtection="1">
      <alignment horizontal="center" vertical="center" wrapText="1"/>
      <protection hidden="1"/>
    </xf>
    <xf numFmtId="0" fontId="28" fillId="2" borderId="0" xfId="0" applyFont="1" applyFill="1" applyAlignment="1">
      <alignment horizontal="center" vertical="center"/>
    </xf>
    <xf numFmtId="2" fontId="0" fillId="0" borderId="0" xfId="0" applyNumberFormat="1" applyAlignment="1">
      <alignment horizontal="center" vertical="center"/>
    </xf>
    <xf numFmtId="164" fontId="0" fillId="0" borderId="0" xfId="1" applyNumberFormat="1" applyFont="1" applyAlignment="1">
      <alignment horizontal="center" vertical="center"/>
    </xf>
    <xf numFmtId="0" fontId="76" fillId="0" borderId="23" xfId="0" applyFont="1" applyBorder="1" applyAlignment="1">
      <alignment horizontal="left" vertical="center"/>
    </xf>
    <xf numFmtId="0" fontId="0" fillId="0" borderId="23" xfId="0" applyBorder="1" applyAlignment="1">
      <alignment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77" fillId="20" borderId="24" xfId="0" applyFont="1" applyFill="1" applyBorder="1" applyAlignment="1">
      <alignment horizontal="center" vertical="center" wrapText="1"/>
    </xf>
    <xf numFmtId="0" fontId="78" fillId="0" borderId="24" xfId="0" applyFont="1" applyBorder="1" applyAlignment="1">
      <alignment vertical="center" wrapText="1"/>
    </xf>
    <xf numFmtId="14" fontId="79" fillId="0" borderId="24" xfId="0" applyNumberFormat="1" applyFont="1" applyBorder="1" applyAlignment="1">
      <alignment horizontal="center" vertical="center" wrapText="1"/>
    </xf>
    <xf numFmtId="0" fontId="79" fillId="21" borderId="24" xfId="0" applyFont="1" applyFill="1" applyBorder="1" applyAlignment="1">
      <alignment horizontal="center" vertical="center" wrapText="1"/>
    </xf>
    <xf numFmtId="0" fontId="79" fillId="0" borderId="24" xfId="0" applyFont="1" applyBorder="1" applyAlignment="1">
      <alignment horizontal="center" vertical="center" wrapText="1"/>
    </xf>
    <xf numFmtId="164" fontId="79" fillId="21" borderId="24" xfId="0" applyNumberFormat="1" applyFont="1" applyFill="1" applyBorder="1" applyAlignment="1">
      <alignment horizontal="center" vertical="center" wrapText="1"/>
    </xf>
    <xf numFmtId="164" fontId="79" fillId="0" borderId="24" xfId="0" applyNumberFormat="1" applyFont="1" applyBorder="1" applyAlignment="1">
      <alignment horizontal="center" vertical="center" wrapText="1"/>
    </xf>
    <xf numFmtId="0" fontId="77" fillId="20" borderId="24" xfId="0" applyFont="1" applyFill="1" applyBorder="1" applyAlignment="1">
      <alignment horizontal="left" vertical="center" wrapText="1"/>
    </xf>
    <xf numFmtId="0" fontId="80" fillId="20" borderId="24" xfId="0" applyFont="1" applyFill="1" applyBorder="1" applyAlignment="1">
      <alignment horizontal="center" vertical="center" wrapText="1"/>
    </xf>
    <xf numFmtId="164" fontId="77" fillId="20" borderId="24" xfId="0" applyNumberFormat="1" applyFont="1" applyFill="1" applyBorder="1" applyAlignment="1">
      <alignment horizontal="center" vertical="center" wrapText="1"/>
    </xf>
    <xf numFmtId="0" fontId="76" fillId="0" borderId="23" xfId="0" applyFont="1" applyBorder="1" applyAlignment="1">
      <alignment vertical="center"/>
    </xf>
    <xf numFmtId="0" fontId="81" fillId="9" borderId="2" xfId="0" applyFont="1" applyFill="1" applyBorder="1" applyAlignment="1">
      <alignment horizontal="center" vertical="center" wrapText="1"/>
    </xf>
    <xf numFmtId="0" fontId="81" fillId="9" borderId="25" xfId="0" applyFont="1" applyFill="1" applyBorder="1" applyAlignment="1">
      <alignment horizontal="center" vertical="center" wrapText="1"/>
    </xf>
    <xf numFmtId="0" fontId="82" fillId="19" borderId="26" xfId="0" applyFont="1" applyFill="1" applyBorder="1" applyAlignment="1">
      <alignment horizontal="center" vertical="center" wrapText="1"/>
    </xf>
    <xf numFmtId="0" fontId="0" fillId="4" borderId="0" xfId="0" applyFill="1" applyAlignment="1">
      <alignment horizontal="center" vertical="center" wrapText="1"/>
    </xf>
    <xf numFmtId="0" fontId="36" fillId="20" borderId="0" xfId="0" applyFont="1" applyFill="1" applyAlignment="1">
      <alignment horizontal="center" vertical="center" wrapText="1"/>
    </xf>
    <xf numFmtId="0" fontId="36" fillId="3" borderId="0" xfId="0" applyFont="1" applyFill="1" applyAlignment="1">
      <alignment horizontal="center" vertical="center" wrapText="1"/>
    </xf>
    <xf numFmtId="0" fontId="36" fillId="22" borderId="0" xfId="0" applyFont="1" applyFill="1" applyAlignment="1">
      <alignment horizontal="center" vertical="center" wrapText="1"/>
    </xf>
    <xf numFmtId="0" fontId="77" fillId="23" borderId="24" xfId="0" applyFont="1" applyFill="1" applyBorder="1" applyAlignment="1">
      <alignment horizontal="center" vertical="center" wrapText="1"/>
    </xf>
    <xf numFmtId="0" fontId="83" fillId="7" borderId="25" xfId="0" applyFont="1" applyFill="1" applyBorder="1" applyAlignment="1">
      <alignment horizontal="right" vertical="center" wrapText="1"/>
    </xf>
    <xf numFmtId="0" fontId="83" fillId="7" borderId="25" xfId="0" applyFont="1" applyFill="1" applyBorder="1" applyAlignment="1">
      <alignment horizontal="center" vertical="center" wrapText="1"/>
    </xf>
    <xf numFmtId="164" fontId="83" fillId="7" borderId="25" xfId="1" applyNumberFormat="1" applyFont="1" applyFill="1" applyBorder="1" applyAlignment="1">
      <alignment horizontal="center" vertical="center" wrapText="1"/>
    </xf>
    <xf numFmtId="0" fontId="0" fillId="21" borderId="0" xfId="0" applyFill="1" applyAlignment="1">
      <alignment horizontal="center" vertical="center" wrapText="1"/>
    </xf>
    <xf numFmtId="164" fontId="0" fillId="21" borderId="0" xfId="1" applyNumberFormat="1" applyFont="1" applyFill="1" applyAlignment="1">
      <alignment horizontal="center" vertical="center"/>
    </xf>
    <xf numFmtId="0" fontId="79" fillId="2" borderId="24" xfId="0" applyFont="1" applyFill="1" applyBorder="1" applyAlignment="1">
      <alignment horizontal="center" vertical="center" wrapText="1"/>
    </xf>
    <xf numFmtId="164" fontId="79" fillId="2" borderId="24" xfId="0" applyNumberFormat="1" applyFont="1" applyFill="1" applyBorder="1" applyAlignment="1">
      <alignment horizontal="center" vertical="center" wrapText="1"/>
    </xf>
    <xf numFmtId="0" fontId="83" fillId="13" borderId="25" xfId="0" applyFont="1" applyFill="1" applyBorder="1" applyAlignment="1">
      <alignment horizontal="right" vertical="center" wrapText="1"/>
    </xf>
    <xf numFmtId="0" fontId="83" fillId="13" borderId="25" xfId="0" applyFont="1" applyFill="1" applyBorder="1" applyAlignment="1">
      <alignment horizontal="center" vertical="center" wrapText="1"/>
    </xf>
    <xf numFmtId="0" fontId="83" fillId="4" borderId="25" xfId="0" applyFont="1" applyFill="1" applyBorder="1" applyAlignment="1">
      <alignment horizontal="center" vertical="center" wrapText="1"/>
    </xf>
    <xf numFmtId="164" fontId="83" fillId="4" borderId="25" xfId="1" applyNumberFormat="1" applyFont="1" applyFill="1" applyBorder="1" applyAlignment="1">
      <alignment horizontal="center" vertical="center" wrapText="1"/>
    </xf>
    <xf numFmtId="0" fontId="77" fillId="23" borderId="24" xfId="0" applyFont="1" applyFill="1" applyBorder="1" applyAlignment="1">
      <alignment horizontal="left" vertical="center" wrapText="1"/>
    </xf>
    <xf numFmtId="164" fontId="77" fillId="23" borderId="24" xfId="0" applyNumberFormat="1" applyFont="1" applyFill="1" applyBorder="1" applyAlignment="1">
      <alignment horizontal="center" vertical="center" wrapText="1"/>
    </xf>
    <xf numFmtId="0" fontId="39" fillId="24" borderId="0" xfId="0" applyFont="1" applyFill="1"/>
    <xf numFmtId="0" fontId="84" fillId="7" borderId="4" xfId="0" applyFont="1" applyFill="1" applyBorder="1" applyAlignment="1">
      <alignment horizontal="left" vertical="center" wrapText="1"/>
    </xf>
    <xf numFmtId="0" fontId="55" fillId="2" borderId="6" xfId="0" applyFont="1" applyFill="1" applyBorder="1" applyAlignment="1" applyProtection="1">
      <alignment horizontal="left" vertical="center"/>
      <protection hidden="1"/>
    </xf>
    <xf numFmtId="0" fontId="16" fillId="2" borderId="6" xfId="0" applyFont="1" applyFill="1" applyBorder="1" applyAlignment="1" applyProtection="1">
      <alignment horizontal="left" vertical="center" wrapText="1" indent="14"/>
      <protection hidden="1"/>
    </xf>
    <xf numFmtId="0" fontId="0" fillId="0" borderId="0" xfId="0" applyAlignment="1">
      <alignment horizontal="center" vertical="center" wrapText="1"/>
    </xf>
    <xf numFmtId="0" fontId="13" fillId="19" borderId="0" xfId="0" applyFont="1" applyFill="1" applyAlignment="1" applyProtection="1">
      <alignment horizontal="center" vertical="center" wrapText="1"/>
      <protection hidden="1"/>
    </xf>
    <xf numFmtId="0" fontId="18" fillId="2" borderId="0" xfId="0" applyFont="1" applyFill="1" applyAlignment="1" applyProtection="1">
      <alignment horizontal="left" wrapText="1"/>
      <protection hidden="1"/>
    </xf>
    <xf numFmtId="0" fontId="19" fillId="2" borderId="22" xfId="0" applyFont="1" applyFill="1" applyBorder="1" applyAlignment="1" applyProtection="1">
      <alignment horizontal="left" vertical="top" wrapText="1"/>
      <protection hidden="1"/>
    </xf>
    <xf numFmtId="9" fontId="16" fillId="2" borderId="6" xfId="0" applyNumberFormat="1" applyFont="1" applyFill="1" applyBorder="1" applyAlignment="1" applyProtection="1">
      <alignment horizontal="left" vertical="center" wrapText="1" indent="1"/>
      <protection hidden="1"/>
    </xf>
    <xf numFmtId="0" fontId="16" fillId="2" borderId="6" xfId="0" applyFont="1" applyFill="1" applyBorder="1" applyAlignment="1" applyProtection="1">
      <alignment horizontal="left" vertical="center" wrapText="1" indent="1"/>
      <protection hidden="1"/>
    </xf>
    <xf numFmtId="0" fontId="24" fillId="2" borderId="6" xfId="0" applyFont="1" applyFill="1" applyBorder="1" applyAlignment="1">
      <alignment horizontal="left" wrapText="1"/>
    </xf>
    <xf numFmtId="0" fontId="12" fillId="10" borderId="0" xfId="0" applyFont="1" applyFill="1" applyAlignment="1" applyProtection="1">
      <alignment horizontal="center" vertical="center" wrapText="1"/>
      <protection hidden="1"/>
    </xf>
    <xf numFmtId="0" fontId="12" fillId="8" borderId="0" xfId="0" applyFont="1" applyFill="1" applyAlignment="1" applyProtection="1">
      <alignment horizontal="center" vertical="center" wrapText="1"/>
      <protection hidden="1"/>
    </xf>
    <xf numFmtId="0" fontId="12" fillId="3" borderId="0" xfId="0" applyFont="1" applyFill="1" applyAlignment="1" applyProtection="1">
      <alignment horizontal="center" vertical="center" wrapText="1"/>
      <protection hidden="1"/>
    </xf>
    <xf numFmtId="0" fontId="14" fillId="17" borderId="0" xfId="0" applyFont="1" applyFill="1" applyAlignment="1" applyProtection="1">
      <alignment horizontal="center" vertical="center" wrapText="1"/>
      <protection hidden="1"/>
    </xf>
    <xf numFmtId="166" fontId="40" fillId="16" borderId="0" xfId="0" applyNumberFormat="1" applyFont="1" applyFill="1" applyAlignment="1" applyProtection="1">
      <alignment horizontal="center" vertical="center" wrapText="1"/>
      <protection hidden="1"/>
    </xf>
    <xf numFmtId="0" fontId="14" fillId="16" borderId="0" xfId="0" applyFont="1" applyFill="1" applyAlignment="1" applyProtection="1">
      <alignment horizontal="center" vertical="center" wrapText="1"/>
      <protection hidden="1"/>
    </xf>
    <xf numFmtId="0" fontId="38" fillId="16" borderId="0" xfId="0" applyFont="1" applyFill="1" applyAlignment="1" applyProtection="1">
      <alignment horizontal="center" vertical="center" wrapText="1"/>
      <protection hidden="1"/>
    </xf>
    <xf numFmtId="0" fontId="13" fillId="18" borderId="0" xfId="0" applyFont="1" applyFill="1" applyAlignment="1" applyProtection="1">
      <alignment horizontal="center" vertical="center" wrapText="1"/>
      <protection hidden="1"/>
    </xf>
    <xf numFmtId="0" fontId="15" fillId="8" borderId="0" xfId="0" applyFont="1" applyFill="1" applyAlignment="1" applyProtection="1">
      <alignment horizontal="center" vertical="center"/>
      <protection hidden="1"/>
    </xf>
    <xf numFmtId="9" fontId="6" fillId="8" borderId="3" xfId="1" applyFont="1" applyFill="1" applyBorder="1" applyAlignment="1" applyProtection="1">
      <alignment horizontal="center" vertical="center"/>
      <protection hidden="1"/>
    </xf>
    <xf numFmtId="1" fontId="15" fillId="3" borderId="9" xfId="1" applyNumberFormat="1" applyFont="1" applyFill="1" applyBorder="1" applyAlignment="1" applyProtection="1">
      <alignment horizontal="center" vertical="center"/>
      <protection hidden="1"/>
    </xf>
    <xf numFmtId="1" fontId="15" fillId="3" borderId="10" xfId="1" applyNumberFormat="1" applyFont="1" applyFill="1" applyBorder="1" applyAlignment="1" applyProtection="1">
      <alignment horizontal="center" vertical="center"/>
      <protection hidden="1"/>
    </xf>
    <xf numFmtId="164" fontId="6" fillId="3" borderId="8" xfId="1" applyNumberFormat="1" applyFont="1" applyFill="1" applyBorder="1" applyAlignment="1" applyProtection="1">
      <alignment horizontal="center" vertical="center"/>
      <protection hidden="1"/>
    </xf>
    <xf numFmtId="164" fontId="6" fillId="3" borderId="11" xfId="1" applyNumberFormat="1" applyFont="1" applyFill="1" applyBorder="1" applyAlignment="1" applyProtection="1">
      <alignment horizontal="center" vertical="center"/>
      <protection hidden="1"/>
    </xf>
    <xf numFmtId="164" fontId="6" fillId="10" borderId="2" xfId="1" applyNumberFormat="1" applyFont="1" applyFill="1" applyBorder="1" applyAlignment="1" applyProtection="1">
      <alignment horizontal="center" vertical="center"/>
      <protection hidden="1"/>
    </xf>
    <xf numFmtId="164" fontId="6" fillId="10" borderId="1" xfId="1" applyNumberFormat="1" applyFont="1" applyFill="1" applyBorder="1" applyAlignment="1" applyProtection="1">
      <alignment horizontal="center" vertical="center"/>
      <protection hidden="1"/>
    </xf>
    <xf numFmtId="9" fontId="6" fillId="10" borderId="8" xfId="1" applyFont="1" applyFill="1" applyBorder="1" applyAlignment="1" applyProtection="1">
      <alignment horizontal="center" vertical="center"/>
      <protection hidden="1"/>
    </xf>
    <xf numFmtId="9" fontId="6" fillId="10" borderId="11" xfId="1" applyFont="1" applyFill="1" applyBorder="1" applyAlignment="1" applyProtection="1">
      <alignment horizontal="center" vertical="center"/>
      <protection hidden="1"/>
    </xf>
    <xf numFmtId="164" fontId="6" fillId="11" borderId="0" xfId="1" applyNumberFormat="1" applyFont="1" applyFill="1" applyAlignment="1" applyProtection="1">
      <alignment horizontal="center" vertical="center"/>
      <protection hidden="1"/>
    </xf>
    <xf numFmtId="0" fontId="12" fillId="11" borderId="0" xfId="0" applyFont="1" applyFill="1" applyAlignment="1" applyProtection="1">
      <alignment horizontal="center" vertical="center" wrapText="1"/>
      <protection hidden="1"/>
    </xf>
    <xf numFmtId="9" fontId="6" fillId="11" borderId="0" xfId="1" applyFont="1" applyFill="1" applyAlignment="1" applyProtection="1">
      <alignment horizontal="center" vertical="center"/>
      <protection hidden="1"/>
    </xf>
    <xf numFmtId="0" fontId="4" fillId="4" borderId="0" xfId="0" applyFont="1" applyFill="1" applyAlignment="1">
      <alignment horizontal="center" vertical="center" wrapText="1"/>
    </xf>
    <xf numFmtId="0" fontId="16" fillId="2" borderId="6" xfId="0" applyFont="1" applyFill="1" applyBorder="1" applyAlignment="1" applyProtection="1">
      <alignment horizontal="left" vertical="center" wrapText="1" indent="21"/>
      <protection hidden="1"/>
    </xf>
    <xf numFmtId="0" fontId="51" fillId="11" borderId="0" xfId="0" applyFont="1" applyFill="1" applyAlignment="1" applyProtection="1">
      <alignment horizontal="left" wrapText="1" indent="2"/>
      <protection hidden="1"/>
    </xf>
    <xf numFmtId="0" fontId="51" fillId="11" borderId="0" xfId="0" applyFont="1" applyFill="1" applyAlignment="1" applyProtection="1">
      <alignment horizontal="left" wrapText="1" indent="3"/>
      <protection hidden="1"/>
    </xf>
    <xf numFmtId="0" fontId="12" fillId="3" borderId="0" xfId="0" applyFont="1" applyFill="1" applyAlignment="1">
      <alignment horizontal="center" vertical="center" wrapText="1"/>
    </xf>
    <xf numFmtId="0" fontId="24" fillId="7" borderId="0" xfId="0" applyFont="1" applyFill="1" applyAlignment="1">
      <alignment horizontal="center" vertical="center" wrapText="1"/>
    </xf>
    <xf numFmtId="0" fontId="24" fillId="7" borderId="5" xfId="0" applyFont="1" applyFill="1" applyBorder="1" applyAlignment="1">
      <alignment horizontal="center" vertical="center" wrapText="1"/>
    </xf>
    <xf numFmtId="0" fontId="24" fillId="7" borderId="4" xfId="0" applyFont="1" applyFill="1" applyBorder="1" applyAlignment="1">
      <alignment horizontal="center" vertical="center" wrapText="1"/>
    </xf>
    <xf numFmtId="0" fontId="33" fillId="15" borderId="0" xfId="0" applyFont="1" applyFill="1" applyAlignment="1">
      <alignment horizontal="left" vertical="center" wrapText="1"/>
    </xf>
    <xf numFmtId="0" fontId="28" fillId="7" borderId="0" xfId="0" applyFont="1" applyFill="1" applyAlignment="1">
      <alignment horizontal="center" vertical="center"/>
    </xf>
    <xf numFmtId="0" fontId="12" fillId="10"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0" xfId="0" applyFont="1" applyFill="1" applyAlignment="1">
      <alignment horizontal="center" vertical="center" wrapText="1"/>
    </xf>
    <xf numFmtId="0" fontId="20" fillId="7" borderId="0" xfId="0" applyFont="1" applyFill="1" applyAlignment="1">
      <alignment horizontal="center" vertical="center" wrapText="1"/>
    </xf>
    <xf numFmtId="164" fontId="24" fillId="7" borderId="0" xfId="1" applyNumberFormat="1" applyFont="1" applyFill="1" applyAlignment="1">
      <alignment horizontal="center" vertical="center"/>
    </xf>
    <xf numFmtId="0" fontId="27" fillId="4" borderId="0" xfId="0" applyFont="1" applyFill="1" applyAlignment="1">
      <alignment horizontal="right" indent="1"/>
    </xf>
    <xf numFmtId="0" fontId="18" fillId="2" borderId="0" xfId="0" applyFont="1" applyFill="1" applyAlignment="1" applyProtection="1">
      <alignment horizontal="left" wrapText="1" indent="1"/>
      <protection hidden="1"/>
    </xf>
    <xf numFmtId="0" fontId="19" fillId="2" borderId="0" xfId="0" applyFont="1" applyFill="1" applyAlignment="1" applyProtection="1">
      <alignment horizontal="left" vertical="top" wrapText="1"/>
      <protection hidden="1"/>
    </xf>
    <xf numFmtId="0" fontId="19" fillId="2" borderId="7" xfId="0" applyFont="1" applyFill="1" applyBorder="1" applyAlignment="1" applyProtection="1">
      <alignment horizontal="left" vertical="top" wrapText="1"/>
      <protection hidden="1"/>
    </xf>
    <xf numFmtId="0" fontId="21" fillId="2" borderId="0" xfId="0" applyFont="1" applyFill="1" applyAlignment="1" applyProtection="1">
      <alignment horizontal="center" wrapText="1"/>
      <protection hidden="1"/>
    </xf>
    <xf numFmtId="0" fontId="21" fillId="2" borderId="7" xfId="0" applyFont="1" applyFill="1" applyBorder="1" applyAlignment="1" applyProtection="1">
      <alignment horizontal="center" wrapText="1"/>
      <protection hidden="1"/>
    </xf>
    <xf numFmtId="165" fontId="24" fillId="4" borderId="0" xfId="1" applyNumberFormat="1" applyFont="1" applyFill="1" applyBorder="1" applyAlignment="1">
      <alignment horizontal="left" vertical="center" wrapText="1"/>
    </xf>
    <xf numFmtId="0" fontId="27" fillId="4" borderId="0" xfId="0" applyFont="1" applyFill="1" applyAlignment="1">
      <alignment horizontal="center" vertical="center" wrapText="1"/>
    </xf>
    <xf numFmtId="0" fontId="34" fillId="14" borderId="0" xfId="0" applyFont="1" applyFill="1" applyAlignment="1">
      <alignment horizontal="center" vertical="center" wrapText="1"/>
    </xf>
    <xf numFmtId="0" fontId="12" fillId="8" borderId="0" xfId="0" applyFont="1" applyFill="1" applyAlignment="1">
      <alignment horizontal="center" vertical="center" wrapText="1"/>
    </xf>
    <xf numFmtId="0" fontId="12" fillId="12" borderId="4" xfId="0" applyFont="1" applyFill="1" applyBorder="1" applyAlignment="1">
      <alignment horizontal="center" vertical="center" wrapText="1"/>
    </xf>
    <xf numFmtId="0" fontId="12" fillId="12" borderId="0" xfId="0" applyFont="1" applyFill="1" applyAlignment="1">
      <alignment horizontal="center" vertical="center" wrapText="1"/>
    </xf>
    <xf numFmtId="0" fontId="33" fillId="7" borderId="0" xfId="0" applyFont="1" applyFill="1" applyAlignment="1">
      <alignment horizontal="left" vertical="center" wrapText="1"/>
    </xf>
    <xf numFmtId="0" fontId="24" fillId="13" borderId="0" xfId="0" applyFont="1" applyFill="1" applyAlignment="1">
      <alignment horizontal="right" vertical="top" indent="1"/>
    </xf>
    <xf numFmtId="0" fontId="24" fillId="7" borderId="0" xfId="0" applyFont="1" applyFill="1" applyAlignment="1">
      <alignment horizontal="left" vertical="center" wrapText="1" indent="1"/>
    </xf>
    <xf numFmtId="0" fontId="33" fillId="7" borderId="12" xfId="0" applyFont="1" applyFill="1" applyBorder="1" applyAlignment="1">
      <alignment horizontal="left" vertical="center" wrapText="1"/>
    </xf>
    <xf numFmtId="0" fontId="12" fillId="12" borderId="5" xfId="0" applyFont="1" applyFill="1" applyBorder="1" applyAlignment="1">
      <alignment horizontal="center" vertical="center" wrapText="1"/>
    </xf>
    <xf numFmtId="0" fontId="15" fillId="8" borderId="0" xfId="0" applyFont="1" applyFill="1" applyAlignment="1">
      <alignment horizontal="center" vertical="center" textRotation="90" wrapText="1"/>
    </xf>
    <xf numFmtId="0" fontId="27" fillId="13" borderId="0" xfId="0" applyFont="1" applyFill="1" applyAlignment="1">
      <alignment horizontal="right" vertical="center"/>
    </xf>
    <xf numFmtId="1" fontId="15" fillId="3" borderId="2" xfId="1" applyNumberFormat="1" applyFont="1" applyFill="1" applyBorder="1" applyAlignment="1" applyProtection="1">
      <alignment horizontal="center" vertical="center"/>
      <protection hidden="1"/>
    </xf>
    <xf numFmtId="1" fontId="15" fillId="3" borderId="1" xfId="1" applyNumberFormat="1" applyFont="1" applyFill="1" applyBorder="1" applyAlignment="1" applyProtection="1">
      <alignment horizontal="center" vertical="center"/>
      <protection hidden="1"/>
    </xf>
    <xf numFmtId="0" fontId="16" fillId="2" borderId="6" xfId="0" applyFont="1" applyFill="1" applyBorder="1" applyAlignment="1" applyProtection="1">
      <alignment horizontal="left" vertical="center" wrapText="1" indent="17"/>
      <protection hidden="1"/>
    </xf>
    <xf numFmtId="0" fontId="16" fillId="2" borderId="6" xfId="0" applyFont="1" applyFill="1" applyBorder="1" applyAlignment="1" applyProtection="1">
      <alignment horizontal="left" vertical="center" wrapText="1" indent="15"/>
      <protection hidden="1"/>
    </xf>
    <xf numFmtId="0" fontId="21" fillId="2" borderId="0" xfId="0" applyFont="1" applyFill="1" applyAlignment="1" applyProtection="1">
      <alignment horizontal="left" wrapText="1" indent="15"/>
      <protection hidden="1"/>
    </xf>
    <xf numFmtId="0" fontId="21" fillId="2" borderId="7" xfId="0" applyFont="1" applyFill="1" applyBorder="1" applyAlignment="1" applyProtection="1">
      <alignment horizontal="left" wrapText="1" indent="15"/>
      <protection hidden="1"/>
    </xf>
    <xf numFmtId="165" fontId="24" fillId="4" borderId="5" xfId="1" applyNumberFormat="1" applyFont="1" applyFill="1" applyBorder="1" applyAlignment="1">
      <alignment horizontal="left" vertical="center" wrapText="1"/>
    </xf>
    <xf numFmtId="0" fontId="27" fillId="4" borderId="4" xfId="0" applyFont="1" applyFill="1" applyBorder="1" applyAlignment="1">
      <alignment horizontal="right" indent="1"/>
    </xf>
    <xf numFmtId="0" fontId="21" fillId="2" borderId="0" xfId="0" applyFont="1" applyFill="1" applyAlignment="1" applyProtection="1">
      <alignment horizontal="left" wrapText="1" indent="14"/>
      <protection hidden="1"/>
    </xf>
    <xf numFmtId="0" fontId="21" fillId="2" borderId="7" xfId="0" applyFont="1" applyFill="1" applyBorder="1" applyAlignment="1" applyProtection="1">
      <alignment horizontal="left" wrapText="1" indent="14"/>
      <protection hidden="1"/>
    </xf>
    <xf numFmtId="0" fontId="21" fillId="2" borderId="0" xfId="0" applyFont="1" applyFill="1" applyAlignment="1" applyProtection="1">
      <alignment horizontal="left" wrapText="1" indent="13"/>
      <protection hidden="1"/>
    </xf>
    <xf numFmtId="0" fontId="21" fillId="2" borderId="7" xfId="0" applyFont="1" applyFill="1" applyBorder="1" applyAlignment="1" applyProtection="1">
      <alignment horizontal="left" wrapText="1" indent="13"/>
      <protection hidden="1"/>
    </xf>
    <xf numFmtId="165" fontId="24" fillId="4" borderId="0" xfId="1" applyNumberFormat="1" applyFont="1" applyFill="1" applyAlignment="1">
      <alignment horizontal="left" vertical="center" wrapText="1"/>
    </xf>
    <xf numFmtId="0" fontId="16" fillId="2" borderId="0" xfId="0" applyFont="1" applyFill="1" applyAlignment="1" applyProtection="1">
      <alignment horizontal="left" wrapText="1" indent="13"/>
      <protection hidden="1"/>
    </xf>
    <xf numFmtId="0" fontId="24" fillId="7" borderId="0" xfId="0" applyFont="1" applyFill="1" applyAlignment="1">
      <alignment horizontal="left" vertical="center" wrapText="1"/>
    </xf>
    <xf numFmtId="0" fontId="23" fillId="2" borderId="0" xfId="0" applyFont="1" applyFill="1" applyAlignment="1" applyProtection="1">
      <alignment horizontal="left" wrapText="1" indent="14"/>
      <protection hidden="1"/>
    </xf>
    <xf numFmtId="0" fontId="65" fillId="7" borderId="12" xfId="2" applyFill="1" applyBorder="1" applyAlignment="1">
      <alignment horizontal="left" vertical="center" wrapText="1"/>
    </xf>
    <xf numFmtId="0" fontId="21" fillId="2" borderId="0" xfId="0" applyFont="1" applyFill="1" applyAlignment="1" applyProtection="1">
      <alignment horizontal="left" wrapText="1" indent="16"/>
      <protection hidden="1"/>
    </xf>
    <xf numFmtId="0" fontId="21" fillId="2" borderId="7" xfId="0" applyFont="1" applyFill="1" applyBorder="1" applyAlignment="1" applyProtection="1">
      <alignment horizontal="left" wrapText="1" indent="16"/>
      <protection hidden="1"/>
    </xf>
    <xf numFmtId="0" fontId="21" fillId="2" borderId="0" xfId="0" applyFont="1" applyFill="1" applyAlignment="1" applyProtection="1">
      <alignment horizontal="left" wrapText="1" indent="18"/>
      <protection hidden="1"/>
    </xf>
    <xf numFmtId="0" fontId="21" fillId="2" borderId="7" xfId="0" applyFont="1" applyFill="1" applyBorder="1" applyAlignment="1" applyProtection="1">
      <alignment horizontal="left" wrapText="1" indent="18"/>
      <protection hidden="1"/>
    </xf>
    <xf numFmtId="0" fontId="66" fillId="2" borderId="0" xfId="0" applyFont="1" applyFill="1" applyAlignment="1" applyProtection="1">
      <alignment horizontal="left" indent="15"/>
      <protection hidden="1"/>
    </xf>
    <xf numFmtId="0" fontId="66" fillId="2" borderId="7" xfId="0" applyFont="1" applyFill="1" applyBorder="1" applyAlignment="1" applyProtection="1">
      <alignment horizontal="left" indent="15"/>
      <protection hidden="1"/>
    </xf>
    <xf numFmtId="0" fontId="21" fillId="2" borderId="0" xfId="0" applyFont="1" applyFill="1" applyAlignment="1" applyProtection="1">
      <alignment horizontal="left" indent="15"/>
      <protection hidden="1"/>
    </xf>
    <xf numFmtId="0" fontId="21" fillId="2" borderId="7" xfId="0" applyFont="1" applyFill="1" applyBorder="1" applyAlignment="1" applyProtection="1">
      <alignment horizontal="left" indent="15"/>
      <protection hidden="1"/>
    </xf>
    <xf numFmtId="0" fontId="85" fillId="7" borderId="0" xfId="0" applyFont="1" applyFill="1" applyAlignment="1">
      <alignment horizontal="left" vertical="center" wrapText="1"/>
    </xf>
  </cellXfs>
  <cellStyles count="3">
    <cellStyle name="Hiperlink" xfId="2" builtinId="8"/>
    <cellStyle name="Normal" xfId="0" builtinId="0"/>
    <cellStyle name="Porcentagem" xfId="1" builtinId="5"/>
  </cellStyles>
  <dxfs count="1065">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color theme="0"/>
      </font>
    </dxf>
    <dxf>
      <font>
        <color theme="6" tint="0.59996337778862885"/>
      </font>
      <fill>
        <patternFill patternType="lightDown">
          <fgColor theme="6"/>
          <bgColor theme="6" tint="0.59996337778862885"/>
        </patternFill>
      </fill>
    </dxf>
    <dxf>
      <font>
        <color theme="9" tint="0.59996337778862885"/>
      </font>
      <fill>
        <patternFill patternType="lightDown">
          <fgColor theme="9"/>
          <bgColor theme="9" tint="0.59996337778862885"/>
        </patternFill>
      </fill>
    </dxf>
    <dxf>
      <font>
        <color theme="0"/>
      </font>
    </dxf>
    <dxf>
      <font>
        <color theme="6" tint="0.59996337778862885"/>
      </font>
      <fill>
        <patternFill patternType="lightDown">
          <fgColor theme="6"/>
          <bgColor theme="6" tint="0.59996337778862885"/>
        </patternFill>
      </fill>
    </dxf>
    <dxf>
      <font>
        <color theme="9" tint="0.59996337778862885"/>
      </font>
      <fill>
        <patternFill patternType="lightDown">
          <fgColor theme="9"/>
          <bgColor theme="9" tint="0.59996337778862885"/>
        </patternFill>
      </fill>
    </dxf>
    <dxf>
      <font>
        <color theme="0"/>
      </font>
    </dxf>
    <dxf>
      <font>
        <color theme="6" tint="0.59996337778862885"/>
      </font>
      <fill>
        <patternFill patternType="lightDown">
          <fgColor theme="6"/>
          <bgColor theme="6" tint="0.59996337778862885"/>
        </patternFill>
      </fill>
    </dxf>
    <dxf>
      <font>
        <color theme="9" tint="0.59996337778862885"/>
      </font>
      <fill>
        <patternFill patternType="lightDown">
          <fgColor theme="9"/>
          <bgColor theme="9" tint="0.59996337778862885"/>
        </patternFill>
      </fill>
    </dxf>
    <dxf>
      <font>
        <color theme="0"/>
      </font>
    </dxf>
    <dxf>
      <font>
        <color theme="6" tint="0.59996337778862885"/>
      </font>
      <fill>
        <patternFill patternType="lightDown">
          <fgColor theme="6"/>
          <bgColor theme="6" tint="0.59996337778862885"/>
        </patternFill>
      </fill>
    </dxf>
    <dxf>
      <font>
        <color theme="9" tint="0.59996337778862885"/>
      </font>
      <fill>
        <patternFill patternType="lightDown">
          <fgColor theme="9"/>
          <bgColor theme="9" tint="0.59996337778862885"/>
        </patternFill>
      </fill>
    </dxf>
    <dxf>
      <font>
        <color theme="0"/>
      </font>
    </dxf>
    <dxf>
      <font>
        <color theme="6" tint="0.59996337778862885"/>
      </font>
      <fill>
        <patternFill patternType="lightDown">
          <fgColor theme="6"/>
          <bgColor theme="6" tint="0.59996337778862885"/>
        </patternFill>
      </fill>
    </dxf>
    <dxf>
      <font>
        <color theme="9" tint="0.59996337778862885"/>
      </font>
      <fill>
        <patternFill patternType="lightDown">
          <fgColor theme="9"/>
          <bgColor theme="9" tint="0.59996337778862885"/>
        </patternFill>
      </fill>
    </dxf>
    <dxf>
      <font>
        <color theme="0"/>
      </font>
    </dxf>
    <dxf>
      <font>
        <color theme="6" tint="0.59996337778862885"/>
      </font>
      <fill>
        <patternFill patternType="lightDown">
          <fgColor theme="6"/>
          <bgColor theme="6" tint="0.59996337778862885"/>
        </patternFill>
      </fill>
    </dxf>
    <dxf>
      <font>
        <color theme="9" tint="0.59996337778862885"/>
      </font>
      <fill>
        <patternFill patternType="lightDown">
          <fgColor theme="9"/>
          <bgColor theme="9" tint="0.59996337778862885"/>
        </patternFill>
      </fill>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b/>
        <i val="0"/>
        <color rgb="FF00B050"/>
      </font>
    </dxf>
    <dxf>
      <font>
        <b/>
        <i val="0"/>
        <color rgb="FFFF0000"/>
      </font>
    </dxf>
    <dxf>
      <font>
        <b/>
        <i val="0"/>
        <color theme="7" tint="0.39994506668294322"/>
      </font>
    </dxf>
    <dxf>
      <font>
        <color rgb="FFC00000"/>
      </font>
      <fill>
        <patternFill>
          <bgColor theme="5" tint="0.59996337778862885"/>
        </patternFill>
      </fill>
    </dxf>
    <dxf>
      <font>
        <color rgb="FF00B0F0"/>
      </font>
      <fill>
        <patternFill>
          <bgColor theme="8" tint="0.79998168889431442"/>
        </patternFill>
      </fill>
    </dxf>
    <dxf>
      <font>
        <color theme="2" tint="-0.499984740745262"/>
      </font>
      <fill>
        <patternFill>
          <bgColor theme="0" tint="-4.9989318521683403E-2"/>
        </patternFill>
      </fill>
    </dxf>
    <dxf>
      <font>
        <color rgb="FF00B050"/>
      </font>
      <fill>
        <patternFill>
          <bgColor theme="9" tint="0.79998168889431442"/>
        </patternFill>
      </fill>
    </dxf>
    <dxf>
      <font>
        <color rgb="FF9C0006"/>
      </font>
      <fill>
        <patternFill>
          <bgColor rgb="FFFFC7CE"/>
        </patternFill>
      </fill>
    </dxf>
    <dxf>
      <font>
        <color theme="0"/>
      </font>
    </dxf>
    <dxf>
      <font>
        <color theme="6" tint="0.59996337778862885"/>
      </font>
      <fill>
        <patternFill patternType="lightDown">
          <fgColor theme="6"/>
          <bgColor theme="6" tint="0.59996337778862885"/>
        </patternFill>
      </fill>
    </dxf>
    <dxf>
      <font>
        <color theme="9" tint="0.59996337778862885"/>
      </font>
      <fill>
        <patternFill patternType="lightDown">
          <fgColor theme="9"/>
          <bgColor theme="9" tint="0.59996337778862885"/>
        </patternFill>
      </fill>
    </dxf>
    <dxf>
      <fill>
        <patternFill>
          <bgColor theme="5" tint="0.39994506668294322"/>
        </patternFill>
      </fill>
    </dxf>
    <dxf>
      <fill>
        <patternFill>
          <bgColor theme="7" tint="0.39994506668294322"/>
        </patternFill>
      </fill>
    </dxf>
    <dxf>
      <fill>
        <patternFill>
          <bgColor theme="9" tint="0.39994506668294322"/>
        </patternFill>
      </fill>
    </dxf>
  </dxfs>
  <tableStyles count="0" defaultTableStyle="TableStyleMedium2" defaultPivotStyle="PivotStyleLight16"/>
  <colors>
    <mruColors>
      <color rgb="FFF5E1DB"/>
      <color rgb="FFEECE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2.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85"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r>
              <a:rPr lang="pt-BR" sz="2000">
                <a:latin typeface="Century Gothic" panose="020B0502020202020204" pitchFamily="34" charset="0"/>
              </a:rPr>
              <a:t>Analisis de Tendencia</a:t>
            </a:r>
          </a:p>
        </c:rich>
      </c:tx>
      <c:overlay val="0"/>
      <c:spPr>
        <a:noFill/>
        <a:ln>
          <a:noFill/>
        </a:ln>
        <a:effectLst/>
      </c:spPr>
      <c:txPr>
        <a:bodyPr rot="0" spcFirstLastPara="1" vertOverflow="ellipsis" vert="horz" wrap="square" anchor="ctr" anchorCtr="1"/>
        <a:lstStyle/>
        <a:p>
          <a:pPr>
            <a:defRPr sz="2000" b="1"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1-ED8C-471E-9A9A-FB1A94E98EA8}"/>
              </c:ext>
            </c:extLst>
          </c:dPt>
          <c:dPt>
            <c:idx val="1"/>
            <c:invertIfNegative val="0"/>
            <c:bubble3D val="0"/>
            <c:spPr>
              <a:solidFill>
                <a:srgbClr val="00B050"/>
              </a:solidFill>
              <a:ln>
                <a:noFill/>
              </a:ln>
              <a:effectLst/>
            </c:spPr>
            <c:extLst>
              <c:ext xmlns:c16="http://schemas.microsoft.com/office/drawing/2014/chart" uri="{C3380CC4-5D6E-409C-BE32-E72D297353CC}">
                <c16:uniqueId val="{00000003-ED8C-471E-9A9A-FB1A94E98EA8}"/>
              </c:ext>
            </c:extLst>
          </c:dPt>
          <c:dLbls>
            <c:spPr>
              <a:noFill/>
              <a:ln>
                <a:noFill/>
              </a:ln>
              <a:effectLst/>
            </c:spPr>
            <c:txPr>
              <a:bodyPr rot="-5400000" spcFirstLastPara="1" vertOverflow="clip" horzOverflow="clip"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Calculos!$B$4:$B$5</c:f>
              <c:strCache>
                <c:ptCount val="2"/>
                <c:pt idx="0">
                  <c:v>Status Actual</c:v>
                </c:pt>
                <c:pt idx="1">
                  <c:v>Plano Futuro</c:v>
                </c:pt>
              </c:strCache>
            </c:strRef>
          </c:cat>
          <c:val>
            <c:numRef>
              <c:f>Calculos!$C$4:$C$5</c:f>
              <c:numCache>
                <c:formatCode>0.0%</c:formatCode>
                <c:ptCount val="2"/>
                <c:pt idx="0">
                  <c:v>0</c:v>
                </c:pt>
                <c:pt idx="1">
                  <c:v>0</c:v>
                </c:pt>
              </c:numCache>
            </c:numRef>
          </c:val>
          <c:extLst>
            <c:ext xmlns:c16="http://schemas.microsoft.com/office/drawing/2014/chart" uri="{C3380CC4-5D6E-409C-BE32-E72D297353CC}">
              <c16:uniqueId val="{00000004-ED8C-471E-9A9A-FB1A94E98EA8}"/>
            </c:ext>
          </c:extLst>
        </c:ser>
        <c:dLbls>
          <c:dLblPos val="outEnd"/>
          <c:showLegendKey val="0"/>
          <c:showVal val="1"/>
          <c:showCatName val="0"/>
          <c:showSerName val="0"/>
          <c:showPercent val="0"/>
          <c:showBubbleSize val="0"/>
        </c:dLbls>
        <c:gapWidth val="444"/>
        <c:overlap val="-90"/>
        <c:axId val="132728768"/>
        <c:axId val="132736672"/>
      </c:barChart>
      <c:catAx>
        <c:axId val="1327287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endParaRPr lang="pt-BR"/>
          </a:p>
        </c:txPr>
        <c:crossAx val="132736672"/>
        <c:crosses val="autoZero"/>
        <c:auto val="1"/>
        <c:lblAlgn val="ctr"/>
        <c:lblOffset val="100"/>
        <c:noMultiLvlLbl val="0"/>
      </c:catAx>
      <c:valAx>
        <c:axId val="132736672"/>
        <c:scaling>
          <c:orientation val="minMax"/>
        </c:scaling>
        <c:delete val="1"/>
        <c:axPos val="l"/>
        <c:numFmt formatCode="0.0%" sourceLinked="1"/>
        <c:majorTickMark val="none"/>
        <c:minorTickMark val="none"/>
        <c:tickLblPos val="nextTo"/>
        <c:crossAx val="1327287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Century Gothic" panose="020B0502020202020204" pitchFamily="34" charset="0"/>
                <a:ea typeface="+mn-ea"/>
                <a:cs typeface="+mn-cs"/>
              </a:defRPr>
            </a:pPr>
            <a:r>
              <a:rPr lang="pt-BR" sz="2000" b="1">
                <a:latin typeface="Century Gothic" panose="020B0502020202020204" pitchFamily="34" charset="0"/>
              </a:rPr>
              <a:t>PUNTUACIÓN</a:t>
            </a:r>
            <a:r>
              <a:rPr lang="pt-BR" sz="2000" b="1" baseline="0">
                <a:latin typeface="Century Gothic" panose="020B0502020202020204" pitchFamily="34" charset="0"/>
              </a:rPr>
              <a:t> ACTUAL Y FUTURA</a:t>
            </a:r>
            <a:endParaRPr lang="pt-BR" sz="2000" b="1">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pt-BR"/>
        </a:p>
      </c:txPr>
    </c:title>
    <c:autoTitleDeleted val="0"/>
    <c:plotArea>
      <c:layout>
        <c:manualLayout>
          <c:layoutTarget val="inner"/>
          <c:xMode val="edge"/>
          <c:yMode val="edge"/>
          <c:x val="0.29289344892494501"/>
          <c:y val="0.20662875473899095"/>
          <c:w val="0.41690649274901243"/>
          <c:h val="0.7165580344123651"/>
        </c:manualLayout>
      </c:layout>
      <c:radarChart>
        <c:radarStyle val="marker"/>
        <c:varyColors val="0"/>
        <c:ser>
          <c:idx val="0"/>
          <c:order val="0"/>
          <c:tx>
            <c:strRef>
              <c:f>Calculos!$F$4</c:f>
              <c:strCache>
                <c:ptCount val="1"/>
                <c:pt idx="0">
                  <c:v>STATUS ACTUAL</c:v>
                </c:pt>
              </c:strCache>
            </c:strRef>
          </c:tx>
          <c:spPr>
            <a:ln w="28575" cap="rnd">
              <a:solidFill>
                <a:srgbClr val="C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panose="020B0502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Calculos!$G$2:$L$2</c:f>
              <c:strCache>
                <c:ptCount val="6"/>
                <c:pt idx="0">
                  <c:v>Estratégia</c:v>
                </c:pt>
                <c:pt idx="1">
                  <c:v>Adquisición</c:v>
                </c:pt>
                <c:pt idx="2">
                  <c:v>Control</c:v>
                </c:pt>
                <c:pt idx="3">
                  <c:v>Mercado</c:v>
                </c:pt>
                <c:pt idx="4">
                  <c:v>Mantenimiento</c:v>
                </c:pt>
                <c:pt idx="5">
                  <c:v>Descarte</c:v>
                </c:pt>
              </c:strCache>
            </c:strRef>
          </c:cat>
          <c:val>
            <c:numRef>
              <c:f>Calculos!$G$4:$L$4</c:f>
              <c:numCache>
                <c:formatCode>0%</c:formatCode>
                <c:ptCount val="6"/>
                <c:pt idx="0">
                  <c:v>0.36600000000000005</c:v>
                </c:pt>
                <c:pt idx="1">
                  <c:v>0.65</c:v>
                </c:pt>
                <c:pt idx="2">
                  <c:v>0.16749999999999995</c:v>
                </c:pt>
                <c:pt idx="3">
                  <c:v>0.16</c:v>
                </c:pt>
                <c:pt idx="4">
                  <c:v>0.435</c:v>
                </c:pt>
                <c:pt idx="5">
                  <c:v>0.5149999999999999</c:v>
                </c:pt>
              </c:numCache>
            </c:numRef>
          </c:val>
          <c:extLst>
            <c:ext xmlns:c16="http://schemas.microsoft.com/office/drawing/2014/chart" uri="{C3380CC4-5D6E-409C-BE32-E72D297353CC}">
              <c16:uniqueId val="{00000000-1AA7-40C9-BC19-72F76E3BCBEC}"/>
            </c:ext>
          </c:extLst>
        </c:ser>
        <c:ser>
          <c:idx val="1"/>
          <c:order val="1"/>
          <c:tx>
            <c:strRef>
              <c:f>Calculos!$F$5</c:f>
              <c:strCache>
                <c:ptCount val="1"/>
                <c:pt idx="0">
                  <c:v>Plano FUTURO</c:v>
                </c:pt>
              </c:strCache>
            </c:strRef>
          </c:tx>
          <c:spPr>
            <a:ln w="28575" cap="rnd">
              <a:solidFill>
                <a:srgbClr val="00B050"/>
              </a:solidFill>
              <a:round/>
            </a:ln>
            <a:effectLst/>
          </c:spPr>
          <c:marker>
            <c:symbol val="none"/>
          </c:marker>
          <c:dLbls>
            <c:spPr>
              <a:noFill/>
              <a:ln>
                <a:noFill/>
              </a:ln>
              <a:effectLst/>
            </c:spPr>
            <c:txPr>
              <a:bodyPr rot="0" spcFirstLastPara="1" vertOverflow="overflow" horzOverflow="overflow" vert="horz" wrap="square" lIns="0" tIns="0" rIns="0" bIns="0" anchor="b" anchorCtr="1">
                <a:spAutoFit/>
              </a:bodyPr>
              <a:lstStyle/>
              <a:p>
                <a:pPr>
                  <a:defRPr sz="11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Calculos!$G$2:$L$2</c:f>
              <c:strCache>
                <c:ptCount val="6"/>
                <c:pt idx="0">
                  <c:v>Estratégia</c:v>
                </c:pt>
                <c:pt idx="1">
                  <c:v>Adquisición</c:v>
                </c:pt>
                <c:pt idx="2">
                  <c:v>Control</c:v>
                </c:pt>
                <c:pt idx="3">
                  <c:v>Mercado</c:v>
                </c:pt>
                <c:pt idx="4">
                  <c:v>Mantenimiento</c:v>
                </c:pt>
                <c:pt idx="5">
                  <c:v>Descarte</c:v>
                </c:pt>
              </c:strCache>
            </c:strRef>
          </c:cat>
          <c:val>
            <c:numRef>
              <c:f>Calculos!$G$5:$L$5</c:f>
              <c:numCache>
                <c:formatCode>0%</c:formatCode>
                <c:ptCount val="6"/>
                <c:pt idx="0">
                  <c:v>0.82600000000000007</c:v>
                </c:pt>
                <c:pt idx="1">
                  <c:v>0.89499999999999991</c:v>
                </c:pt>
                <c:pt idx="2">
                  <c:v>0.85750000000000004</c:v>
                </c:pt>
                <c:pt idx="3">
                  <c:v>0.76300000000000001</c:v>
                </c:pt>
                <c:pt idx="4">
                  <c:v>0.66249999999999998</c:v>
                </c:pt>
                <c:pt idx="5">
                  <c:v>0.80500000000000016</c:v>
                </c:pt>
              </c:numCache>
            </c:numRef>
          </c:val>
          <c:extLst>
            <c:ext xmlns:c16="http://schemas.microsoft.com/office/drawing/2014/chart" uri="{C3380CC4-5D6E-409C-BE32-E72D297353CC}">
              <c16:uniqueId val="{00000001-1AA7-40C9-BC19-72F76E3BCBEC}"/>
            </c:ext>
          </c:extLst>
        </c:ser>
        <c:dLbls>
          <c:showLegendKey val="0"/>
          <c:showVal val="0"/>
          <c:showCatName val="0"/>
          <c:showSerName val="0"/>
          <c:showPercent val="0"/>
          <c:showBubbleSize val="0"/>
        </c:dLbls>
        <c:axId val="132762464"/>
        <c:axId val="132751648"/>
      </c:radarChart>
      <c:catAx>
        <c:axId val="13276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pt-BR"/>
          </a:p>
        </c:txPr>
        <c:crossAx val="132751648"/>
        <c:crosses val="autoZero"/>
        <c:auto val="1"/>
        <c:lblAlgn val="ctr"/>
        <c:lblOffset val="100"/>
        <c:noMultiLvlLbl val="0"/>
      </c:catAx>
      <c:valAx>
        <c:axId val="132751648"/>
        <c:scaling>
          <c:orientation val="minMax"/>
          <c:max val="1"/>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2762464"/>
        <c:crosses val="autoZero"/>
        <c:crossBetween val="between"/>
        <c:majorUnit val="0.2"/>
      </c:valAx>
      <c:spPr>
        <a:noFill/>
        <a:ln>
          <a:noFill/>
        </a:ln>
        <a:effectLst/>
      </c:spPr>
    </c:plotArea>
    <c:legend>
      <c:legendPos val="l"/>
      <c:layout>
        <c:manualLayout>
          <c:xMode val="edge"/>
          <c:yMode val="edge"/>
          <c:x val="0"/>
          <c:y val="0.81577500729075536"/>
          <c:w val="0.24033765476285163"/>
          <c:h val="0.1562510936132983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r>
              <a:rPr lang="pt-BR" sz="2000">
                <a:latin typeface="Century Gothic" panose="020B0502020202020204" pitchFamily="34" charset="0"/>
              </a:rPr>
              <a:t>MAPA DE OPORTUNIDADES vs FUTURO</a:t>
            </a:r>
          </a:p>
        </c:rich>
      </c:tx>
      <c:layout>
        <c:manualLayout>
          <c:xMode val="edge"/>
          <c:yMode val="edge"/>
          <c:x val="0.17063188976377955"/>
          <c:y val="2.7777777777777776E-2"/>
        </c:manualLayout>
      </c:layout>
      <c:overlay val="0"/>
      <c:spPr>
        <a:noFill/>
        <a:ln>
          <a:noFill/>
        </a:ln>
        <a:effectLst/>
      </c:spPr>
      <c:txPr>
        <a:bodyPr rot="0" spcFirstLastPara="1" vertOverflow="ellipsis" vert="horz" wrap="square" anchor="ctr" anchorCtr="1"/>
        <a:lstStyle/>
        <a:p>
          <a:pPr>
            <a:defRPr sz="2000" b="1"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endParaRPr lang="pt-BR"/>
        </a:p>
      </c:txPr>
    </c:title>
    <c:autoTitleDeleted val="0"/>
    <c:plotArea>
      <c:layout/>
      <c:barChart>
        <c:barDir val="col"/>
        <c:grouping val="clustered"/>
        <c:varyColors val="0"/>
        <c:ser>
          <c:idx val="0"/>
          <c:order val="0"/>
          <c:tx>
            <c:strRef>
              <c:f>Calculos!$N$3</c:f>
              <c:strCache>
                <c:ptCount val="1"/>
                <c:pt idx="0">
                  <c:v>vs FUTURO</c:v>
                </c:pt>
              </c:strCache>
            </c:strRef>
          </c:tx>
          <c:spPr>
            <a:solidFill>
              <a:srgbClr val="C00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Calculos!$O$2:$T$2</c:f>
              <c:strCache>
                <c:ptCount val="6"/>
                <c:pt idx="0">
                  <c:v>ESTRATÉGIA</c:v>
                </c:pt>
                <c:pt idx="1">
                  <c:v>ADQUISICIÓN</c:v>
                </c:pt>
                <c:pt idx="2">
                  <c:v>CONTROL</c:v>
                </c:pt>
                <c:pt idx="3">
                  <c:v>MERCADO</c:v>
                </c:pt>
                <c:pt idx="4">
                  <c:v>MANTENIMIENTO</c:v>
                </c:pt>
                <c:pt idx="5">
                  <c:v>DESCARTE</c:v>
                </c:pt>
              </c:strCache>
            </c:strRef>
          </c:cat>
          <c:val>
            <c:numRef>
              <c:f>Calculos!$O$3:$T$3</c:f>
              <c:numCache>
                <c:formatCode>0%</c:formatCode>
                <c:ptCount val="6"/>
                <c:pt idx="0">
                  <c:v>0.46</c:v>
                </c:pt>
                <c:pt idx="1">
                  <c:v>0.24499999999999988</c:v>
                </c:pt>
                <c:pt idx="2">
                  <c:v>0.69000000000000006</c:v>
                </c:pt>
                <c:pt idx="3">
                  <c:v>0.60299999999999998</c:v>
                </c:pt>
                <c:pt idx="4">
                  <c:v>0.22749999999999998</c:v>
                </c:pt>
                <c:pt idx="5">
                  <c:v>0.29000000000000026</c:v>
                </c:pt>
              </c:numCache>
            </c:numRef>
          </c:val>
          <c:extLst>
            <c:ext xmlns:c16="http://schemas.microsoft.com/office/drawing/2014/chart" uri="{C3380CC4-5D6E-409C-BE32-E72D297353CC}">
              <c16:uniqueId val="{00000000-7D63-4B2D-BF29-5EBA7935E528}"/>
            </c:ext>
          </c:extLst>
        </c:ser>
        <c:dLbls>
          <c:dLblPos val="outEnd"/>
          <c:showLegendKey val="0"/>
          <c:showVal val="1"/>
          <c:showCatName val="0"/>
          <c:showSerName val="0"/>
          <c:showPercent val="0"/>
          <c:showBubbleSize val="0"/>
        </c:dLbls>
        <c:gapWidth val="444"/>
        <c:overlap val="-90"/>
        <c:axId val="213480336"/>
        <c:axId val="213482000"/>
      </c:barChart>
      <c:catAx>
        <c:axId val="2134803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endParaRPr lang="pt-BR"/>
          </a:p>
        </c:txPr>
        <c:crossAx val="213482000"/>
        <c:crosses val="autoZero"/>
        <c:auto val="1"/>
        <c:lblAlgn val="ctr"/>
        <c:lblOffset val="100"/>
        <c:noMultiLvlLbl val="0"/>
      </c:catAx>
      <c:valAx>
        <c:axId val="213482000"/>
        <c:scaling>
          <c:orientation val="minMax"/>
        </c:scaling>
        <c:delete val="1"/>
        <c:axPos val="l"/>
        <c:numFmt formatCode="0%" sourceLinked="1"/>
        <c:majorTickMark val="none"/>
        <c:minorTickMark val="none"/>
        <c:tickLblPos val="nextTo"/>
        <c:crossAx val="21348033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r>
              <a:rPr lang="pt-BR" sz="2000">
                <a:latin typeface="Century Gothic" panose="020B0502020202020204" pitchFamily="34" charset="0"/>
              </a:rPr>
              <a:t>Analisis de Tendencia</a:t>
            </a:r>
          </a:p>
        </c:rich>
      </c:tx>
      <c:overlay val="0"/>
      <c:spPr>
        <a:noFill/>
        <a:ln>
          <a:noFill/>
        </a:ln>
        <a:effectLst/>
      </c:spPr>
      <c:txPr>
        <a:bodyPr rot="0" spcFirstLastPara="1" vertOverflow="ellipsis" vert="horz" wrap="square" anchor="ctr" anchorCtr="1"/>
        <a:lstStyle/>
        <a:p>
          <a:pPr>
            <a:defRPr sz="2000" b="1"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C00000"/>
              </a:solidFill>
              <a:ln>
                <a:noFill/>
              </a:ln>
              <a:effectLst/>
            </c:spPr>
            <c:extLst>
              <c:ext xmlns:c16="http://schemas.microsoft.com/office/drawing/2014/chart" uri="{C3380CC4-5D6E-409C-BE32-E72D297353CC}">
                <c16:uniqueId val="{00000002-0D7C-4803-947C-6068E3068596}"/>
              </c:ext>
            </c:extLst>
          </c:dPt>
          <c:dPt>
            <c:idx val="1"/>
            <c:invertIfNegative val="0"/>
            <c:bubble3D val="0"/>
            <c:spPr>
              <a:solidFill>
                <a:srgbClr val="00B050"/>
              </a:solidFill>
              <a:ln>
                <a:noFill/>
              </a:ln>
              <a:effectLst/>
            </c:spPr>
            <c:extLst>
              <c:ext xmlns:c16="http://schemas.microsoft.com/office/drawing/2014/chart" uri="{C3380CC4-5D6E-409C-BE32-E72D297353CC}">
                <c16:uniqueId val="{00000003-0D7C-4803-947C-6068E3068596}"/>
              </c:ext>
            </c:extLst>
          </c:dPt>
          <c:dLbls>
            <c:spPr>
              <a:noFill/>
              <a:ln>
                <a:noFill/>
              </a:ln>
              <a:effectLst/>
            </c:spPr>
            <c:txPr>
              <a:bodyPr rot="-5400000" spcFirstLastPara="1" vertOverflow="clip" horzOverflow="clip" vert="horz" wrap="square" lIns="38100" tIns="19050" rIns="38100" bIns="19050" anchor="ctr" anchorCtr="1">
                <a:spAutoFit/>
              </a:bodyPr>
              <a:lstStyle/>
              <a:p>
                <a:pPr>
                  <a:defRPr sz="1200" b="0" i="0" u="none" strike="noStrike" kern="1200" baseline="0">
                    <a:solidFill>
                      <a:schemeClr val="tx1">
                        <a:lumMod val="50000"/>
                        <a:lumOff val="50000"/>
                      </a:schemeClr>
                    </a:solidFill>
                    <a:latin typeface="Century Gothic" panose="020B0502020202020204" pitchFamily="34"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Calculos!$B$4:$B$5</c:f>
              <c:strCache>
                <c:ptCount val="2"/>
                <c:pt idx="0">
                  <c:v>Status Actual</c:v>
                </c:pt>
                <c:pt idx="1">
                  <c:v>Plano Futuro</c:v>
                </c:pt>
              </c:strCache>
            </c:strRef>
          </c:cat>
          <c:val>
            <c:numRef>
              <c:f>Calculos!$C$4:$C$5</c:f>
              <c:numCache>
                <c:formatCode>0.0%</c:formatCode>
                <c:ptCount val="2"/>
                <c:pt idx="0">
                  <c:v>0</c:v>
                </c:pt>
                <c:pt idx="1">
                  <c:v>0</c:v>
                </c:pt>
              </c:numCache>
            </c:numRef>
          </c:val>
          <c:extLst>
            <c:ext xmlns:c16="http://schemas.microsoft.com/office/drawing/2014/chart" uri="{C3380CC4-5D6E-409C-BE32-E72D297353CC}">
              <c16:uniqueId val="{00000000-0D7C-4803-947C-6068E3068596}"/>
            </c:ext>
          </c:extLst>
        </c:ser>
        <c:dLbls>
          <c:dLblPos val="outEnd"/>
          <c:showLegendKey val="0"/>
          <c:showVal val="1"/>
          <c:showCatName val="0"/>
          <c:showSerName val="0"/>
          <c:showPercent val="0"/>
          <c:showBubbleSize val="0"/>
        </c:dLbls>
        <c:gapWidth val="444"/>
        <c:overlap val="-90"/>
        <c:axId val="132728768"/>
        <c:axId val="132736672"/>
      </c:barChart>
      <c:catAx>
        <c:axId val="1327287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endParaRPr lang="pt-BR"/>
          </a:p>
        </c:txPr>
        <c:crossAx val="132736672"/>
        <c:crosses val="autoZero"/>
        <c:auto val="1"/>
        <c:lblAlgn val="ctr"/>
        <c:lblOffset val="100"/>
        <c:noMultiLvlLbl val="0"/>
      </c:catAx>
      <c:valAx>
        <c:axId val="132736672"/>
        <c:scaling>
          <c:orientation val="minMax"/>
        </c:scaling>
        <c:delete val="1"/>
        <c:axPos val="l"/>
        <c:numFmt formatCode="0.0%" sourceLinked="1"/>
        <c:majorTickMark val="none"/>
        <c:minorTickMark val="none"/>
        <c:tickLblPos val="nextTo"/>
        <c:crossAx val="1327287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Century Gothic" panose="020B0502020202020204" pitchFamily="34" charset="0"/>
                <a:ea typeface="+mn-ea"/>
                <a:cs typeface="+mn-cs"/>
              </a:defRPr>
            </a:pPr>
            <a:r>
              <a:rPr lang="pt-BR" sz="2000" b="1">
                <a:latin typeface="Century Gothic" panose="020B0502020202020204" pitchFamily="34" charset="0"/>
              </a:rPr>
              <a:t>PUNTUACIÓN</a:t>
            </a:r>
            <a:r>
              <a:rPr lang="pt-BR" sz="2000" b="1" baseline="0">
                <a:latin typeface="Century Gothic" panose="020B0502020202020204" pitchFamily="34" charset="0"/>
              </a:rPr>
              <a:t> ACTUAL Y FUTURA</a:t>
            </a:r>
            <a:endParaRPr lang="pt-BR" sz="2000" b="1">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pt-BR"/>
        </a:p>
      </c:txPr>
    </c:title>
    <c:autoTitleDeleted val="0"/>
    <c:plotArea>
      <c:layout>
        <c:manualLayout>
          <c:layoutTarget val="inner"/>
          <c:xMode val="edge"/>
          <c:yMode val="edge"/>
          <c:x val="0.29289344892494501"/>
          <c:y val="0.20662875473899095"/>
          <c:w val="0.41690649274901243"/>
          <c:h val="0.7165580344123651"/>
        </c:manualLayout>
      </c:layout>
      <c:radarChart>
        <c:radarStyle val="marker"/>
        <c:varyColors val="0"/>
        <c:ser>
          <c:idx val="0"/>
          <c:order val="0"/>
          <c:tx>
            <c:strRef>
              <c:f>Calculos!$F$4</c:f>
              <c:strCache>
                <c:ptCount val="1"/>
                <c:pt idx="0">
                  <c:v>STATUS ACTUAL</c:v>
                </c:pt>
              </c:strCache>
            </c:strRef>
          </c:tx>
          <c:spPr>
            <a:ln w="28575" cap="rnd">
              <a:solidFill>
                <a:srgbClr val="C00000"/>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Century Gothic" panose="020B0502020202020204" pitchFamily="34" charset="0"/>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Calculos!$G$2:$L$2</c:f>
              <c:strCache>
                <c:ptCount val="6"/>
                <c:pt idx="0">
                  <c:v>Estratégia</c:v>
                </c:pt>
                <c:pt idx="1">
                  <c:v>Adquisición</c:v>
                </c:pt>
                <c:pt idx="2">
                  <c:v>Control</c:v>
                </c:pt>
                <c:pt idx="3">
                  <c:v>Mercado</c:v>
                </c:pt>
                <c:pt idx="4">
                  <c:v>Mantenimiento</c:v>
                </c:pt>
                <c:pt idx="5">
                  <c:v>Descarte</c:v>
                </c:pt>
              </c:strCache>
            </c:strRef>
          </c:cat>
          <c:val>
            <c:numRef>
              <c:f>Calculos!$G$4:$L$4</c:f>
              <c:numCache>
                <c:formatCode>0%</c:formatCode>
                <c:ptCount val="6"/>
                <c:pt idx="0">
                  <c:v>0.36600000000000005</c:v>
                </c:pt>
                <c:pt idx="1">
                  <c:v>0.65</c:v>
                </c:pt>
                <c:pt idx="2">
                  <c:v>0.16749999999999995</c:v>
                </c:pt>
                <c:pt idx="3">
                  <c:v>0.16</c:v>
                </c:pt>
                <c:pt idx="4">
                  <c:v>0.435</c:v>
                </c:pt>
                <c:pt idx="5">
                  <c:v>0.5149999999999999</c:v>
                </c:pt>
              </c:numCache>
            </c:numRef>
          </c:val>
          <c:extLst>
            <c:ext xmlns:c16="http://schemas.microsoft.com/office/drawing/2014/chart" uri="{C3380CC4-5D6E-409C-BE32-E72D297353CC}">
              <c16:uniqueId val="{00000000-6991-4EC4-A535-C3994A6F8D28}"/>
            </c:ext>
          </c:extLst>
        </c:ser>
        <c:ser>
          <c:idx val="1"/>
          <c:order val="1"/>
          <c:tx>
            <c:strRef>
              <c:f>Calculos!$F$5</c:f>
              <c:strCache>
                <c:ptCount val="1"/>
                <c:pt idx="0">
                  <c:v>Plano FUTURO</c:v>
                </c:pt>
              </c:strCache>
            </c:strRef>
          </c:tx>
          <c:spPr>
            <a:ln w="28575" cap="rnd">
              <a:solidFill>
                <a:srgbClr val="00B050"/>
              </a:solidFill>
              <a:round/>
            </a:ln>
            <a:effectLst/>
          </c:spPr>
          <c:marker>
            <c:symbol val="none"/>
          </c:marker>
          <c:dLbls>
            <c:spPr>
              <a:noFill/>
              <a:ln>
                <a:noFill/>
              </a:ln>
              <a:effectLst/>
            </c:spPr>
            <c:txPr>
              <a:bodyPr rot="0" spcFirstLastPara="1" vertOverflow="overflow" horzOverflow="overflow" vert="horz" wrap="square" lIns="0" tIns="0" rIns="0" bIns="0" anchor="b"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Calculos!$G$2:$L$2</c:f>
              <c:strCache>
                <c:ptCount val="6"/>
                <c:pt idx="0">
                  <c:v>Estratégia</c:v>
                </c:pt>
                <c:pt idx="1">
                  <c:v>Adquisición</c:v>
                </c:pt>
                <c:pt idx="2">
                  <c:v>Control</c:v>
                </c:pt>
                <c:pt idx="3">
                  <c:v>Mercado</c:v>
                </c:pt>
                <c:pt idx="4">
                  <c:v>Mantenimiento</c:v>
                </c:pt>
                <c:pt idx="5">
                  <c:v>Descarte</c:v>
                </c:pt>
              </c:strCache>
            </c:strRef>
          </c:cat>
          <c:val>
            <c:numRef>
              <c:f>Calculos!$G$5:$L$5</c:f>
              <c:numCache>
                <c:formatCode>0%</c:formatCode>
                <c:ptCount val="6"/>
                <c:pt idx="0">
                  <c:v>0.82600000000000007</c:v>
                </c:pt>
                <c:pt idx="1">
                  <c:v>0.89499999999999991</c:v>
                </c:pt>
                <c:pt idx="2">
                  <c:v>0.85750000000000004</c:v>
                </c:pt>
                <c:pt idx="3">
                  <c:v>0.76300000000000001</c:v>
                </c:pt>
                <c:pt idx="4">
                  <c:v>0.66249999999999998</c:v>
                </c:pt>
                <c:pt idx="5">
                  <c:v>0.80500000000000016</c:v>
                </c:pt>
              </c:numCache>
            </c:numRef>
          </c:val>
          <c:extLst>
            <c:ext xmlns:c16="http://schemas.microsoft.com/office/drawing/2014/chart" uri="{C3380CC4-5D6E-409C-BE32-E72D297353CC}">
              <c16:uniqueId val="{00000001-6991-4EC4-A535-C3994A6F8D28}"/>
            </c:ext>
          </c:extLst>
        </c:ser>
        <c:dLbls>
          <c:showLegendKey val="0"/>
          <c:showVal val="0"/>
          <c:showCatName val="0"/>
          <c:showSerName val="0"/>
          <c:showPercent val="0"/>
          <c:showBubbleSize val="0"/>
        </c:dLbls>
        <c:axId val="132762464"/>
        <c:axId val="132751648"/>
      </c:radarChart>
      <c:catAx>
        <c:axId val="13276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pt-BR"/>
          </a:p>
        </c:txPr>
        <c:crossAx val="132751648"/>
        <c:crosses val="autoZero"/>
        <c:auto val="1"/>
        <c:lblAlgn val="ctr"/>
        <c:lblOffset val="100"/>
        <c:noMultiLvlLbl val="0"/>
      </c:catAx>
      <c:valAx>
        <c:axId val="132751648"/>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32762464"/>
        <c:crosses val="autoZero"/>
        <c:crossBetween val="between"/>
      </c:valAx>
      <c:spPr>
        <a:noFill/>
        <a:ln>
          <a:noFill/>
        </a:ln>
        <a:effectLst/>
      </c:spPr>
    </c:plotArea>
    <c:legend>
      <c:legendPos val="l"/>
      <c:layout>
        <c:manualLayout>
          <c:xMode val="edge"/>
          <c:yMode val="edge"/>
          <c:x val="0"/>
          <c:y val="0.81577500729075536"/>
          <c:w val="0.24033765476285163"/>
          <c:h val="0.1562510936132983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r>
              <a:rPr lang="pt-BR" sz="2000">
                <a:latin typeface="Century Gothic" panose="020B0502020202020204" pitchFamily="34" charset="0"/>
              </a:rPr>
              <a:t>MAPA DE OPORTUNIDADES vs FUTURO</a:t>
            </a:r>
          </a:p>
        </c:rich>
      </c:tx>
      <c:layout>
        <c:manualLayout>
          <c:xMode val="edge"/>
          <c:yMode val="edge"/>
          <c:x val="0.17063188976377955"/>
          <c:y val="2.7777777777777776E-2"/>
        </c:manualLayout>
      </c:layout>
      <c:overlay val="0"/>
      <c:spPr>
        <a:noFill/>
        <a:ln>
          <a:noFill/>
        </a:ln>
        <a:effectLst/>
      </c:spPr>
      <c:txPr>
        <a:bodyPr rot="0" spcFirstLastPara="1" vertOverflow="ellipsis" vert="horz" wrap="square" anchor="ctr" anchorCtr="1"/>
        <a:lstStyle/>
        <a:p>
          <a:pPr>
            <a:defRPr sz="2000" b="1"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endParaRPr lang="pt-BR"/>
        </a:p>
      </c:txPr>
    </c:title>
    <c:autoTitleDeleted val="0"/>
    <c:plotArea>
      <c:layout/>
      <c:barChart>
        <c:barDir val="col"/>
        <c:grouping val="clustered"/>
        <c:varyColors val="0"/>
        <c:ser>
          <c:idx val="0"/>
          <c:order val="0"/>
          <c:tx>
            <c:strRef>
              <c:f>Calculos!$N$3</c:f>
              <c:strCache>
                <c:ptCount val="1"/>
                <c:pt idx="0">
                  <c:v>vs FUTURO</c:v>
                </c:pt>
              </c:strCache>
            </c:strRef>
          </c:tx>
          <c:spPr>
            <a:solidFill>
              <a:srgbClr val="C00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Calculos!$O$2:$T$2</c:f>
              <c:strCache>
                <c:ptCount val="6"/>
                <c:pt idx="0">
                  <c:v>ESTRATÉGIA</c:v>
                </c:pt>
                <c:pt idx="1">
                  <c:v>ADQUISICIÓN</c:v>
                </c:pt>
                <c:pt idx="2">
                  <c:v>CONTROL</c:v>
                </c:pt>
                <c:pt idx="3">
                  <c:v>MERCADO</c:v>
                </c:pt>
                <c:pt idx="4">
                  <c:v>MANTENIMIENTO</c:v>
                </c:pt>
                <c:pt idx="5">
                  <c:v>DESCARTE</c:v>
                </c:pt>
              </c:strCache>
            </c:strRef>
          </c:cat>
          <c:val>
            <c:numRef>
              <c:f>Calculos!$O$3:$T$3</c:f>
              <c:numCache>
                <c:formatCode>0%</c:formatCode>
                <c:ptCount val="6"/>
                <c:pt idx="0">
                  <c:v>0.46</c:v>
                </c:pt>
                <c:pt idx="1">
                  <c:v>0.24499999999999988</c:v>
                </c:pt>
                <c:pt idx="2">
                  <c:v>0.69000000000000006</c:v>
                </c:pt>
                <c:pt idx="3">
                  <c:v>0.60299999999999998</c:v>
                </c:pt>
                <c:pt idx="4">
                  <c:v>0.22749999999999998</c:v>
                </c:pt>
                <c:pt idx="5">
                  <c:v>0.29000000000000026</c:v>
                </c:pt>
              </c:numCache>
            </c:numRef>
          </c:val>
          <c:extLst>
            <c:ext xmlns:c16="http://schemas.microsoft.com/office/drawing/2014/chart" uri="{C3380CC4-5D6E-409C-BE32-E72D297353CC}">
              <c16:uniqueId val="{00000000-8AA7-4404-978D-0854C8917C2C}"/>
            </c:ext>
          </c:extLst>
        </c:ser>
        <c:dLbls>
          <c:dLblPos val="outEnd"/>
          <c:showLegendKey val="0"/>
          <c:showVal val="1"/>
          <c:showCatName val="0"/>
          <c:showSerName val="0"/>
          <c:showPercent val="0"/>
          <c:showBubbleSize val="0"/>
        </c:dLbls>
        <c:gapWidth val="444"/>
        <c:overlap val="-90"/>
        <c:axId val="213480336"/>
        <c:axId val="213482000"/>
      </c:barChart>
      <c:catAx>
        <c:axId val="2134803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Century Gothic" panose="020B0502020202020204" pitchFamily="34" charset="0"/>
                <a:ea typeface="+mn-ea"/>
                <a:cs typeface="+mn-cs"/>
              </a:defRPr>
            </a:pPr>
            <a:endParaRPr lang="pt-BR"/>
          </a:p>
        </c:txPr>
        <c:crossAx val="213482000"/>
        <c:crosses val="autoZero"/>
        <c:auto val="1"/>
        <c:lblAlgn val="ctr"/>
        <c:lblOffset val="100"/>
        <c:noMultiLvlLbl val="0"/>
      </c:catAx>
      <c:valAx>
        <c:axId val="213482000"/>
        <c:scaling>
          <c:orientation val="minMax"/>
        </c:scaling>
        <c:delete val="1"/>
        <c:axPos val="l"/>
        <c:numFmt formatCode="0%" sourceLinked="1"/>
        <c:majorTickMark val="none"/>
        <c:minorTickMark val="none"/>
        <c:tickLblPos val="nextTo"/>
        <c:crossAx val="21348033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r>
              <a:rPr lang="pt-BR" b="1">
                <a:latin typeface="Century Gothic" panose="020B0502020202020204" pitchFamily="34" charset="0"/>
              </a:rPr>
              <a:t>SUBGRUPOS</a:t>
            </a:r>
          </a:p>
        </c:rich>
      </c:tx>
      <c:layout>
        <c:manualLayout>
          <c:xMode val="edge"/>
          <c:yMode val="edge"/>
          <c:x val="0.27566771819137753"/>
          <c:y val="0"/>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Century Gothic" panose="020B0502020202020204" pitchFamily="34" charset="0"/>
              <a:ea typeface="+mn-ea"/>
              <a:cs typeface="+mn-cs"/>
            </a:defRPr>
          </a:pPr>
          <a:endParaRPr lang="pt-BR"/>
        </a:p>
      </c:txPr>
    </c:title>
    <c:autoTitleDeleted val="0"/>
    <c:plotArea>
      <c:layout>
        <c:manualLayout>
          <c:layoutTarget val="inner"/>
          <c:xMode val="edge"/>
          <c:yMode val="edge"/>
          <c:x val="0.29289344892494501"/>
          <c:y val="0.20662875473899095"/>
          <c:w val="0.41690649274901243"/>
          <c:h val="0.7165580344123651"/>
        </c:manualLayout>
      </c:layout>
      <c:radarChart>
        <c:radarStyle val="marker"/>
        <c:varyColors val="0"/>
        <c:ser>
          <c:idx val="0"/>
          <c:order val="0"/>
          <c:tx>
            <c:strRef>
              <c:f>Calculos!$F$29</c:f>
              <c:strCache>
                <c:ptCount val="1"/>
                <c:pt idx="0">
                  <c:v>Total</c:v>
                </c:pt>
              </c:strCache>
            </c:strRef>
          </c:tx>
          <c:spPr>
            <a:ln w="28575" cap="rnd">
              <a:solidFill>
                <a:schemeClr val="accent1"/>
              </a:solidFill>
              <a:round/>
            </a:ln>
            <a:effectLst/>
          </c:spPr>
          <c:marker>
            <c:symbol val="none"/>
          </c:marker>
          <c:cat>
            <c:strRef>
              <c:f>Calculos!$G$28:$U$28</c:f>
              <c:strCache>
                <c:ptCount val="15"/>
                <c:pt idx="0">
                  <c:v>E2E</c:v>
                </c:pt>
                <c:pt idx="1">
                  <c:v>Prevención de Pérdida</c:v>
                </c:pt>
                <c:pt idx="2">
                  <c:v>Mejora Contínua</c:v>
                </c:pt>
                <c:pt idx="3">
                  <c:v>Definiciones Estrategicas</c:v>
                </c:pt>
                <c:pt idx="4">
                  <c:v>Eficiencia Operativa</c:v>
                </c:pt>
                <c:pt idx="5">
                  <c:v>Planificación Financiera</c:v>
                </c:pt>
                <c:pt idx="6">
                  <c:v>Gestión de pérdida</c:v>
                </c:pt>
                <c:pt idx="7">
                  <c:v>Proveedores</c:v>
                </c:pt>
                <c:pt idx="8">
                  <c:v>Conectividad</c:v>
                </c:pt>
                <c:pt idx="9">
                  <c:v>Sustentabilidad</c:v>
                </c:pt>
                <c:pt idx="10">
                  <c:v>Control del Stock</c:v>
                </c:pt>
                <c:pt idx="11">
                  <c:v>Política organizacional</c:v>
                </c:pt>
                <c:pt idx="12">
                  <c:v>SLA y Analisis Operativas</c:v>
                </c:pt>
                <c:pt idx="13">
                  <c:v>Herramientas de Instalación</c:v>
                </c:pt>
                <c:pt idx="14">
                  <c:v>Maximización de Ventas</c:v>
                </c:pt>
              </c:strCache>
            </c:strRef>
          </c:cat>
          <c:val>
            <c:numRef>
              <c:f>Calculos!$G$29:$U$29</c:f>
              <c:numCache>
                <c:formatCode>0.00%</c:formatCode>
                <c:ptCount val="15"/>
                <c:pt idx="0">
                  <c:v>0</c:v>
                </c:pt>
                <c:pt idx="1">
                  <c:v>0</c:v>
                </c:pt>
                <c:pt idx="2">
                  <c:v>0</c:v>
                </c:pt>
                <c:pt idx="3">
                  <c:v>0</c:v>
                </c:pt>
                <c:pt idx="4">
                  <c:v>0</c:v>
                </c:pt>
                <c:pt idx="5">
                  <c:v>0</c:v>
                </c:pt>
                <c:pt idx="6">
                  <c:v>0</c:v>
                </c:pt>
                <c:pt idx="7">
                  <c:v>0</c:v>
                </c:pt>
                <c:pt idx="8">
                  <c:v>0</c:v>
                </c:pt>
                <c:pt idx="9">
                  <c:v>0</c:v>
                </c:pt>
                <c:pt idx="10">
                  <c:v>0</c:v>
                </c:pt>
                <c:pt idx="11">
                  <c:v>0</c:v>
                </c:pt>
                <c:pt idx="12" formatCode="0%">
                  <c:v>0</c:v>
                </c:pt>
                <c:pt idx="13" formatCode="0%">
                  <c:v>0</c:v>
                </c:pt>
                <c:pt idx="14" formatCode="0%">
                  <c:v>0</c:v>
                </c:pt>
              </c:numCache>
            </c:numRef>
          </c:val>
          <c:extLst>
            <c:ext xmlns:c16="http://schemas.microsoft.com/office/drawing/2014/chart" uri="{C3380CC4-5D6E-409C-BE32-E72D297353CC}">
              <c16:uniqueId val="{00000000-5ECC-4089-B4EF-94DE851F51EB}"/>
            </c:ext>
          </c:extLst>
        </c:ser>
        <c:ser>
          <c:idx val="1"/>
          <c:order val="1"/>
          <c:tx>
            <c:strRef>
              <c:f>Calculos!$F$30</c:f>
              <c:strCache>
                <c:ptCount val="1"/>
                <c:pt idx="0">
                  <c:v>STATUS ACTUAL</c:v>
                </c:pt>
              </c:strCache>
            </c:strRef>
          </c:tx>
          <c:spPr>
            <a:ln w="28575" cap="rnd">
              <a:solidFill>
                <a:schemeClr val="accent2"/>
              </a:solidFill>
              <a:round/>
            </a:ln>
            <a:effectLst/>
          </c:spPr>
          <c:marker>
            <c:symbol val="none"/>
          </c:marker>
          <c:cat>
            <c:strRef>
              <c:f>Calculos!$G$28:$U$28</c:f>
              <c:strCache>
                <c:ptCount val="15"/>
                <c:pt idx="0">
                  <c:v>E2E</c:v>
                </c:pt>
                <c:pt idx="1">
                  <c:v>Prevención de Pérdida</c:v>
                </c:pt>
                <c:pt idx="2">
                  <c:v>Mejora Contínua</c:v>
                </c:pt>
                <c:pt idx="3">
                  <c:v>Definiciones Estrategicas</c:v>
                </c:pt>
                <c:pt idx="4">
                  <c:v>Eficiencia Operativa</c:v>
                </c:pt>
                <c:pt idx="5">
                  <c:v>Planificación Financiera</c:v>
                </c:pt>
                <c:pt idx="6">
                  <c:v>Gestión de pérdida</c:v>
                </c:pt>
                <c:pt idx="7">
                  <c:v>Proveedores</c:v>
                </c:pt>
                <c:pt idx="8">
                  <c:v>Conectividad</c:v>
                </c:pt>
                <c:pt idx="9">
                  <c:v>Sustentabilidad</c:v>
                </c:pt>
                <c:pt idx="10">
                  <c:v>Control del Stock</c:v>
                </c:pt>
                <c:pt idx="11">
                  <c:v>Política organizacional</c:v>
                </c:pt>
                <c:pt idx="12">
                  <c:v>SLA y Analisis Operativas</c:v>
                </c:pt>
                <c:pt idx="13">
                  <c:v>Herramientas de Instalación</c:v>
                </c:pt>
                <c:pt idx="14">
                  <c:v>Maximización de Ventas</c:v>
                </c:pt>
              </c:strCache>
            </c:strRef>
          </c:cat>
          <c:val>
            <c:numRef>
              <c:f>Calculos!$G$30:$U$30</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1-5ECC-4089-B4EF-94DE851F51EB}"/>
            </c:ext>
          </c:extLst>
        </c:ser>
        <c:ser>
          <c:idx val="2"/>
          <c:order val="2"/>
          <c:tx>
            <c:strRef>
              <c:f>Calculos!$F$31</c:f>
              <c:strCache>
                <c:ptCount val="1"/>
                <c:pt idx="0">
                  <c:v>Plano FUTURO</c:v>
                </c:pt>
              </c:strCache>
            </c:strRef>
          </c:tx>
          <c:spPr>
            <a:ln w="28575" cap="rnd">
              <a:solidFill>
                <a:schemeClr val="accent3"/>
              </a:solidFill>
              <a:round/>
            </a:ln>
            <a:effectLst/>
          </c:spPr>
          <c:marker>
            <c:symbol val="none"/>
          </c:marker>
          <c:cat>
            <c:strRef>
              <c:f>Calculos!$G$28:$U$28</c:f>
              <c:strCache>
                <c:ptCount val="15"/>
                <c:pt idx="0">
                  <c:v>E2E</c:v>
                </c:pt>
                <c:pt idx="1">
                  <c:v>Prevención de Pérdida</c:v>
                </c:pt>
                <c:pt idx="2">
                  <c:v>Mejora Contínua</c:v>
                </c:pt>
                <c:pt idx="3">
                  <c:v>Definiciones Estrategicas</c:v>
                </c:pt>
                <c:pt idx="4">
                  <c:v>Eficiencia Operativa</c:v>
                </c:pt>
                <c:pt idx="5">
                  <c:v>Planificación Financiera</c:v>
                </c:pt>
                <c:pt idx="6">
                  <c:v>Gestión de pérdida</c:v>
                </c:pt>
                <c:pt idx="7">
                  <c:v>Proveedores</c:v>
                </c:pt>
                <c:pt idx="8">
                  <c:v>Conectividad</c:v>
                </c:pt>
                <c:pt idx="9">
                  <c:v>Sustentabilidad</c:v>
                </c:pt>
                <c:pt idx="10">
                  <c:v>Control del Stock</c:v>
                </c:pt>
                <c:pt idx="11">
                  <c:v>Política organizacional</c:v>
                </c:pt>
                <c:pt idx="12">
                  <c:v>SLA y Analisis Operativas</c:v>
                </c:pt>
                <c:pt idx="13">
                  <c:v>Herramientas de Instalación</c:v>
                </c:pt>
                <c:pt idx="14">
                  <c:v>Maximización de Ventas</c:v>
                </c:pt>
              </c:strCache>
            </c:strRef>
          </c:cat>
          <c:val>
            <c:numRef>
              <c:f>Calculos!$G$31:$U$31</c:f>
              <c:numCache>
                <c:formatCode>0%</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03-5ECC-4089-B4EF-94DE851F51EB}"/>
            </c:ext>
          </c:extLst>
        </c:ser>
        <c:dLbls>
          <c:showLegendKey val="0"/>
          <c:showVal val="0"/>
          <c:showCatName val="0"/>
          <c:showSerName val="0"/>
          <c:showPercent val="0"/>
          <c:showBubbleSize val="0"/>
        </c:dLbls>
        <c:axId val="132762464"/>
        <c:axId val="132751648"/>
      </c:radarChart>
      <c:catAx>
        <c:axId val="132762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t"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32751648"/>
        <c:crosses val="autoZero"/>
        <c:auto val="1"/>
        <c:lblAlgn val="ctr"/>
        <c:lblOffset val="100"/>
        <c:noMultiLvlLbl val="0"/>
      </c:catAx>
      <c:valAx>
        <c:axId val="132751648"/>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132762464"/>
        <c:crosses val="autoZero"/>
        <c:crossBetween val="between"/>
      </c:valAx>
      <c:spPr>
        <a:noFill/>
        <a:ln>
          <a:noFill/>
        </a:ln>
        <a:effectLst/>
      </c:spPr>
    </c:plotArea>
    <c:legend>
      <c:legendPos val="b"/>
      <c:layout>
        <c:manualLayout>
          <c:xMode val="edge"/>
          <c:yMode val="edge"/>
          <c:x val="0.25333233976667741"/>
          <c:y val="0.93644023310645497"/>
          <c:w val="0.51015971583993636"/>
          <c:h val="6.35597668935450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Control!A1"/><Relationship Id="rId13" Type="http://schemas.openxmlformats.org/officeDocument/2006/relationships/image" Target="../media/image8.png"/><Relationship Id="rId18" Type="http://schemas.openxmlformats.org/officeDocument/2006/relationships/hyperlink" Target="#Mantenimiento!A1"/><Relationship Id="rId3" Type="http://schemas.openxmlformats.org/officeDocument/2006/relationships/image" Target="../media/image2.png"/><Relationship Id="rId21" Type="http://schemas.openxmlformats.org/officeDocument/2006/relationships/image" Target="../media/image12.png"/><Relationship Id="rId7" Type="http://schemas.openxmlformats.org/officeDocument/2006/relationships/image" Target="../media/image4.png"/><Relationship Id="rId12" Type="http://schemas.openxmlformats.org/officeDocument/2006/relationships/hyperlink" Target="#'Resumen Items'!A1"/><Relationship Id="rId17" Type="http://schemas.openxmlformats.org/officeDocument/2006/relationships/image" Target="../media/image10.png"/><Relationship Id="rId2" Type="http://schemas.openxmlformats.org/officeDocument/2006/relationships/image" Target="../media/image1.png"/><Relationship Id="rId16" Type="http://schemas.openxmlformats.org/officeDocument/2006/relationships/hyperlink" Target="#Mercado!A1"/><Relationship Id="rId20" Type="http://schemas.openxmlformats.org/officeDocument/2006/relationships/hyperlink" Target="#Descarte!A1"/><Relationship Id="rId1" Type="http://schemas.openxmlformats.org/officeDocument/2006/relationships/hyperlink" Target="#'Analisis Items'!A1"/><Relationship Id="rId6" Type="http://schemas.openxmlformats.org/officeDocument/2006/relationships/hyperlink" Target="#Adquisici&#243;n!A1"/><Relationship Id="rId11" Type="http://schemas.openxmlformats.org/officeDocument/2006/relationships/image" Target="../media/image7.svg"/><Relationship Id="rId5" Type="http://schemas.openxmlformats.org/officeDocument/2006/relationships/image" Target="../media/image3.png"/><Relationship Id="rId15" Type="http://schemas.openxmlformats.org/officeDocument/2006/relationships/image" Target="../media/image9.png"/><Relationship Id="rId10" Type="http://schemas.openxmlformats.org/officeDocument/2006/relationships/image" Target="../media/image6.png"/><Relationship Id="rId19" Type="http://schemas.openxmlformats.org/officeDocument/2006/relationships/image" Target="../media/image11.png"/><Relationship Id="rId4" Type="http://schemas.openxmlformats.org/officeDocument/2006/relationships/hyperlink" Target="#Estrat&#233;gia!A1"/><Relationship Id="rId9" Type="http://schemas.openxmlformats.org/officeDocument/2006/relationships/image" Target="../media/image5.png"/><Relationship Id="rId14" Type="http://schemas.openxmlformats.org/officeDocument/2006/relationships/hyperlink" Target="#Instruciones!A1"/></Relationships>
</file>

<file path=xl/drawings/_rels/drawing10.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Menu!A1"/><Relationship Id="rId6" Type="http://schemas.openxmlformats.org/officeDocument/2006/relationships/hyperlink" Target="#'Resumen Items'!A1"/><Relationship Id="rId5" Type="http://schemas.openxmlformats.org/officeDocument/2006/relationships/image" Target="../media/image34.png"/><Relationship Id="rId4"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Menu!A1"/><Relationship Id="rId6" Type="http://schemas.openxmlformats.org/officeDocument/2006/relationships/hyperlink" Target="#'Resumen Items'!A1"/><Relationship Id="rId5" Type="http://schemas.openxmlformats.org/officeDocument/2006/relationships/image" Target="../media/image35.png"/><Relationship Id="rId4"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Menu!A1"/><Relationship Id="rId6" Type="http://schemas.openxmlformats.org/officeDocument/2006/relationships/hyperlink" Target="#'Resumen Items'!A1"/><Relationship Id="rId5" Type="http://schemas.openxmlformats.org/officeDocument/2006/relationships/image" Target="../media/image36.png"/><Relationship Id="rId4"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8" Type="http://schemas.openxmlformats.org/officeDocument/2006/relationships/hyperlink" Target="#Instruciones!A1"/><Relationship Id="rId3" Type="http://schemas.openxmlformats.org/officeDocument/2006/relationships/image" Target="../media/image31.png"/><Relationship Id="rId7" Type="http://schemas.openxmlformats.org/officeDocument/2006/relationships/hyperlink" Target="#'Estrategia 2'!A1"/><Relationship Id="rId2" Type="http://schemas.openxmlformats.org/officeDocument/2006/relationships/hyperlink" Target="#Estrat&#233;gia!A1"/><Relationship Id="rId1" Type="http://schemas.openxmlformats.org/officeDocument/2006/relationships/image" Target="../media/image13.png"/><Relationship Id="rId6" Type="http://schemas.openxmlformats.org/officeDocument/2006/relationships/image" Target="../media/image15.svg"/><Relationship Id="rId5" Type="http://schemas.openxmlformats.org/officeDocument/2006/relationships/image" Target="../media/image14.png"/><Relationship Id="rId4" Type="http://schemas.openxmlformats.org/officeDocument/2006/relationships/hyperlink" Target="#Menu!A1"/></Relationships>
</file>

<file path=xl/drawings/_rels/drawing14.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1'!A1"/><Relationship Id="rId5" Type="http://schemas.openxmlformats.org/officeDocument/2006/relationships/hyperlink" Target="#'Estrategia 3'!A1"/><Relationship Id="rId4" Type="http://schemas.openxmlformats.org/officeDocument/2006/relationships/image" Target="../media/image15.svg"/><Relationship Id="rId9" Type="http://schemas.openxmlformats.org/officeDocument/2006/relationships/image" Target="../media/image31.png"/></Relationships>
</file>

<file path=xl/drawings/_rels/drawing15.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2'!A1"/><Relationship Id="rId5" Type="http://schemas.openxmlformats.org/officeDocument/2006/relationships/hyperlink" Target="#'Estrategia 4'!A1"/><Relationship Id="rId4" Type="http://schemas.openxmlformats.org/officeDocument/2006/relationships/image" Target="../media/image15.svg"/><Relationship Id="rId9" Type="http://schemas.openxmlformats.org/officeDocument/2006/relationships/image" Target="../media/image31.png"/></Relationships>
</file>

<file path=xl/drawings/_rels/drawing16.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3'!A1"/><Relationship Id="rId5" Type="http://schemas.openxmlformats.org/officeDocument/2006/relationships/hyperlink" Target="#'Estrategia 5'!A1"/><Relationship Id="rId4" Type="http://schemas.openxmlformats.org/officeDocument/2006/relationships/image" Target="../media/image15.svg"/><Relationship Id="rId9" Type="http://schemas.openxmlformats.org/officeDocument/2006/relationships/image" Target="../media/image31.png"/></Relationships>
</file>

<file path=xl/drawings/_rels/drawing17.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4'!A1"/><Relationship Id="rId5" Type="http://schemas.openxmlformats.org/officeDocument/2006/relationships/hyperlink" Target="#'Estrategia 6'!A1"/><Relationship Id="rId4" Type="http://schemas.openxmlformats.org/officeDocument/2006/relationships/image" Target="../media/image15.svg"/><Relationship Id="rId9" Type="http://schemas.openxmlformats.org/officeDocument/2006/relationships/image" Target="../media/image31.png"/></Relationships>
</file>

<file path=xl/drawings/_rels/drawing18.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5'!A1"/><Relationship Id="rId5" Type="http://schemas.openxmlformats.org/officeDocument/2006/relationships/hyperlink" Target="#'Estrategia 7'!A1"/><Relationship Id="rId4" Type="http://schemas.openxmlformats.org/officeDocument/2006/relationships/image" Target="../media/image15.svg"/><Relationship Id="rId9" Type="http://schemas.openxmlformats.org/officeDocument/2006/relationships/image" Target="../media/image31.png"/></Relationships>
</file>

<file path=xl/drawings/_rels/drawing19.xml.rels><?xml version="1.0" encoding="UTF-8" standalone="yes"?>
<Relationships xmlns="http://schemas.openxmlformats.org/package/2006/relationships"><Relationship Id="rId8" Type="http://schemas.openxmlformats.org/officeDocument/2006/relationships/hyperlink" Target="#Instruciones!A1"/><Relationship Id="rId3" Type="http://schemas.openxmlformats.org/officeDocument/2006/relationships/image" Target="../media/image14.png"/><Relationship Id="rId7" Type="http://schemas.openxmlformats.org/officeDocument/2006/relationships/hyperlink" Target="#'Estrategia 8'!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6'!A1"/><Relationship Id="rId5" Type="http://schemas.openxmlformats.org/officeDocument/2006/relationships/hyperlink" Target="#'Estrategia 7 (2)'!A1"/><Relationship Id="rId10" Type="http://schemas.openxmlformats.org/officeDocument/2006/relationships/image" Target="../media/image31.png"/><Relationship Id="rId4" Type="http://schemas.openxmlformats.org/officeDocument/2006/relationships/image" Target="../media/image15.svg"/><Relationship Id="rId9" Type="http://schemas.openxmlformats.org/officeDocument/2006/relationships/hyperlink" Target="#Estrat&#233;gia!A1"/></Relationships>
</file>

<file path=xl/drawings/_rels/drawing2.xml.rels><?xml version="1.0" encoding="UTF-8" standalone="yes"?>
<Relationships xmlns="http://schemas.openxmlformats.org/package/2006/relationships"><Relationship Id="rId8" Type="http://schemas.openxmlformats.org/officeDocument/2006/relationships/chart" Target="../charts/chart2.xml"/><Relationship Id="rId3" Type="http://schemas.openxmlformats.org/officeDocument/2006/relationships/image" Target="../media/image14.png"/><Relationship Id="rId7" Type="http://schemas.openxmlformats.org/officeDocument/2006/relationships/chart" Target="../charts/chart1.xml"/><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image" Target="../media/image17.svg"/><Relationship Id="rId5" Type="http://schemas.openxmlformats.org/officeDocument/2006/relationships/image" Target="../media/image16.png"/><Relationship Id="rId10" Type="http://schemas.openxmlformats.org/officeDocument/2006/relationships/hyperlink" Target="#'Resumen Items'!A1"/><Relationship Id="rId4" Type="http://schemas.openxmlformats.org/officeDocument/2006/relationships/image" Target="../media/image15.svg"/><Relationship Id="rId9"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7'!A1"/><Relationship Id="rId5" Type="http://schemas.openxmlformats.org/officeDocument/2006/relationships/hyperlink" Target="#'Estrategia 9'!A1"/><Relationship Id="rId4" Type="http://schemas.openxmlformats.org/officeDocument/2006/relationships/image" Target="../media/image15.svg"/><Relationship Id="rId9" Type="http://schemas.openxmlformats.org/officeDocument/2006/relationships/image" Target="../media/image31.png"/></Relationships>
</file>

<file path=xl/drawings/_rels/drawing21.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8'!A1"/><Relationship Id="rId5" Type="http://schemas.openxmlformats.org/officeDocument/2006/relationships/hyperlink" Target="#'Estrategia 10'!A1"/><Relationship Id="rId10" Type="http://schemas.openxmlformats.org/officeDocument/2006/relationships/image" Target="../media/image37.png"/><Relationship Id="rId4" Type="http://schemas.openxmlformats.org/officeDocument/2006/relationships/image" Target="../media/image15.svg"/><Relationship Id="rId9" Type="http://schemas.openxmlformats.org/officeDocument/2006/relationships/image" Target="../media/image31.png"/></Relationships>
</file>

<file path=xl/drawings/_rels/drawing22.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9'!A1"/><Relationship Id="rId5" Type="http://schemas.openxmlformats.org/officeDocument/2006/relationships/hyperlink" Target="#'Estrategia 11'!A1"/><Relationship Id="rId4" Type="http://schemas.openxmlformats.org/officeDocument/2006/relationships/image" Target="../media/image15.svg"/><Relationship Id="rId9"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10'!A1"/><Relationship Id="rId5" Type="http://schemas.openxmlformats.org/officeDocument/2006/relationships/hyperlink" Target="#'Estrategia 12'!A1"/><Relationship Id="rId4" Type="http://schemas.openxmlformats.org/officeDocument/2006/relationships/image" Target="../media/image15.svg"/><Relationship Id="rId9" Type="http://schemas.openxmlformats.org/officeDocument/2006/relationships/image" Target="../media/image31.png"/></Relationships>
</file>

<file path=xl/drawings/_rels/drawing24.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13'!A1"/><Relationship Id="rId5" Type="http://schemas.openxmlformats.org/officeDocument/2006/relationships/hyperlink" Target="#'Estrategia 11'!A1"/><Relationship Id="rId4" Type="http://schemas.openxmlformats.org/officeDocument/2006/relationships/image" Target="../media/image15.svg"/><Relationship Id="rId9" Type="http://schemas.openxmlformats.org/officeDocument/2006/relationships/image" Target="../media/image31.png"/></Relationships>
</file>

<file path=xl/drawings/_rels/drawing25.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12'!A1"/><Relationship Id="rId5" Type="http://schemas.openxmlformats.org/officeDocument/2006/relationships/hyperlink" Target="#'Estrategia 14'!A1"/><Relationship Id="rId4" Type="http://schemas.openxmlformats.org/officeDocument/2006/relationships/image" Target="../media/image15.svg"/><Relationship Id="rId9" Type="http://schemas.openxmlformats.org/officeDocument/2006/relationships/image" Target="../media/image31.png"/></Relationships>
</file>

<file path=xl/drawings/_rels/drawing26.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13'!A1"/><Relationship Id="rId5" Type="http://schemas.openxmlformats.org/officeDocument/2006/relationships/hyperlink" Target="#'Estrategia 15'!A1"/><Relationship Id="rId4" Type="http://schemas.openxmlformats.org/officeDocument/2006/relationships/image" Target="../media/image15.svg"/><Relationship Id="rId9" Type="http://schemas.openxmlformats.org/officeDocument/2006/relationships/image" Target="../media/image31.png"/></Relationships>
</file>

<file path=xl/drawings/_rels/drawing27.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14'!A1"/><Relationship Id="rId5" Type="http://schemas.openxmlformats.org/officeDocument/2006/relationships/hyperlink" Target="#'Estrategia 16'!A1"/><Relationship Id="rId4" Type="http://schemas.openxmlformats.org/officeDocument/2006/relationships/image" Target="../media/image15.svg"/><Relationship Id="rId9" Type="http://schemas.openxmlformats.org/officeDocument/2006/relationships/image" Target="../media/image31.png"/></Relationships>
</file>

<file path=xl/drawings/_rels/drawing28.xml.rels><?xml version="1.0" encoding="UTF-8" standalone="yes"?>
<Relationships xmlns="http://schemas.openxmlformats.org/package/2006/relationships"><Relationship Id="rId8" Type="http://schemas.openxmlformats.org/officeDocument/2006/relationships/hyperlink" Target="#Estrat&#233;gia!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Estrategia 15'!A1"/><Relationship Id="rId5" Type="http://schemas.openxmlformats.org/officeDocument/2006/relationships/hyperlink" Target="#'Adquisici&#243;n 1'!A1"/><Relationship Id="rId4" Type="http://schemas.openxmlformats.org/officeDocument/2006/relationships/image" Target="../media/image15.svg"/><Relationship Id="rId9" Type="http://schemas.openxmlformats.org/officeDocument/2006/relationships/image" Target="../media/image31.png"/></Relationships>
</file>

<file path=xl/drawings/_rels/drawing29.xml.rels><?xml version="1.0" encoding="UTF-8" standalone="yes"?>
<Relationships xmlns="http://schemas.openxmlformats.org/package/2006/relationships"><Relationship Id="rId8" Type="http://schemas.openxmlformats.org/officeDocument/2006/relationships/hyperlink" Target="#'Estrategia 16'!A1"/><Relationship Id="rId3" Type="http://schemas.openxmlformats.org/officeDocument/2006/relationships/image" Target="../media/image38.png"/><Relationship Id="rId7" Type="http://schemas.openxmlformats.org/officeDocument/2006/relationships/hyperlink" Target="#'Adquisici&#243;n 2'!A1"/><Relationship Id="rId2" Type="http://schemas.openxmlformats.org/officeDocument/2006/relationships/hyperlink" Target="#Adquisici&#243;n!A1"/><Relationship Id="rId1" Type="http://schemas.openxmlformats.org/officeDocument/2006/relationships/image" Target="../media/image13.png"/><Relationship Id="rId6" Type="http://schemas.openxmlformats.org/officeDocument/2006/relationships/image" Target="../media/image15.svg"/><Relationship Id="rId5" Type="http://schemas.openxmlformats.org/officeDocument/2006/relationships/image" Target="../media/image14.png"/><Relationship Id="rId4" Type="http://schemas.openxmlformats.org/officeDocument/2006/relationships/hyperlink" Target="#Menu!A1"/><Relationship Id="rId9" Type="http://schemas.openxmlformats.org/officeDocument/2006/relationships/hyperlink" Target="#Instruciones!A1"/></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chart" Target="../charts/chart7.xml"/></Relationships>
</file>

<file path=xl/drawings/_rels/drawing30.xml.rels><?xml version="1.0" encoding="UTF-8" standalone="yes"?>
<Relationships xmlns="http://schemas.openxmlformats.org/package/2006/relationships"><Relationship Id="rId8" Type="http://schemas.openxmlformats.org/officeDocument/2006/relationships/hyperlink" Target="#Adquisici&#243;n!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Adquisici&#243;n 1'!A1"/><Relationship Id="rId5" Type="http://schemas.openxmlformats.org/officeDocument/2006/relationships/hyperlink" Target="#'Adquisici&#243;n 3'!A1"/><Relationship Id="rId4" Type="http://schemas.openxmlformats.org/officeDocument/2006/relationships/image" Target="../media/image15.svg"/><Relationship Id="rId9" Type="http://schemas.openxmlformats.org/officeDocument/2006/relationships/image" Target="../media/image38.png"/></Relationships>
</file>

<file path=xl/drawings/_rels/drawing31.xml.rels><?xml version="1.0" encoding="UTF-8" standalone="yes"?>
<Relationships xmlns="http://schemas.openxmlformats.org/package/2006/relationships"><Relationship Id="rId8" Type="http://schemas.openxmlformats.org/officeDocument/2006/relationships/hyperlink" Target="#Adquisici&#243;n!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Adquisici&#243;n 2'!A1"/><Relationship Id="rId5" Type="http://schemas.openxmlformats.org/officeDocument/2006/relationships/hyperlink" Target="#'Adquisici&#243;n 4'!A1"/><Relationship Id="rId4" Type="http://schemas.openxmlformats.org/officeDocument/2006/relationships/image" Target="../media/image15.svg"/><Relationship Id="rId9" Type="http://schemas.openxmlformats.org/officeDocument/2006/relationships/image" Target="../media/image38.png"/></Relationships>
</file>

<file path=xl/drawings/_rels/drawing32.xml.rels><?xml version="1.0" encoding="UTF-8" standalone="yes"?>
<Relationships xmlns="http://schemas.openxmlformats.org/package/2006/relationships"><Relationship Id="rId8" Type="http://schemas.openxmlformats.org/officeDocument/2006/relationships/hyperlink" Target="#Adquisici&#243;n!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Adquisici&#243;n 3'!A1"/><Relationship Id="rId5" Type="http://schemas.openxmlformats.org/officeDocument/2006/relationships/hyperlink" Target="#'Adquisici&#243;n 5'!A1"/><Relationship Id="rId4" Type="http://schemas.openxmlformats.org/officeDocument/2006/relationships/image" Target="../media/image15.svg"/><Relationship Id="rId9" Type="http://schemas.openxmlformats.org/officeDocument/2006/relationships/image" Target="../media/image38.png"/></Relationships>
</file>

<file path=xl/drawings/_rels/drawing33.xml.rels><?xml version="1.0" encoding="UTF-8" standalone="yes"?>
<Relationships xmlns="http://schemas.openxmlformats.org/package/2006/relationships"><Relationship Id="rId8" Type="http://schemas.openxmlformats.org/officeDocument/2006/relationships/hyperlink" Target="#Adquisici&#243;n!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Adquisici&#243;n 4'!A1"/><Relationship Id="rId5" Type="http://schemas.openxmlformats.org/officeDocument/2006/relationships/hyperlink" Target="#'Control 1'!A1"/><Relationship Id="rId4" Type="http://schemas.openxmlformats.org/officeDocument/2006/relationships/image" Target="../media/image15.svg"/><Relationship Id="rId9" Type="http://schemas.openxmlformats.org/officeDocument/2006/relationships/image" Target="../media/image38.png"/></Relationships>
</file>

<file path=xl/drawings/_rels/drawing34.xml.rels><?xml version="1.0" encoding="UTF-8" standalone="yes"?>
<Relationships xmlns="http://schemas.openxmlformats.org/package/2006/relationships"><Relationship Id="rId8" Type="http://schemas.openxmlformats.org/officeDocument/2006/relationships/hyperlink" Target="#'Adquisici&#243;n 5'!A1"/><Relationship Id="rId3" Type="http://schemas.openxmlformats.org/officeDocument/2006/relationships/image" Target="../media/image39.png"/><Relationship Id="rId7" Type="http://schemas.openxmlformats.org/officeDocument/2006/relationships/hyperlink" Target="#'Control 2'!A1"/><Relationship Id="rId2" Type="http://schemas.openxmlformats.org/officeDocument/2006/relationships/hyperlink" Target="#Control!A1"/><Relationship Id="rId1" Type="http://schemas.openxmlformats.org/officeDocument/2006/relationships/image" Target="../media/image13.png"/><Relationship Id="rId6" Type="http://schemas.openxmlformats.org/officeDocument/2006/relationships/image" Target="../media/image15.svg"/><Relationship Id="rId5" Type="http://schemas.openxmlformats.org/officeDocument/2006/relationships/image" Target="../media/image14.png"/><Relationship Id="rId4" Type="http://schemas.openxmlformats.org/officeDocument/2006/relationships/hyperlink" Target="#Menu!A1"/><Relationship Id="rId9" Type="http://schemas.openxmlformats.org/officeDocument/2006/relationships/hyperlink" Target="#Instruciones!A1"/></Relationships>
</file>

<file path=xl/drawings/_rels/drawing35.xml.rels><?xml version="1.0" encoding="UTF-8" standalone="yes"?>
<Relationships xmlns="http://schemas.openxmlformats.org/package/2006/relationships"><Relationship Id="rId8" Type="http://schemas.openxmlformats.org/officeDocument/2006/relationships/hyperlink" Target="#Control!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1'!A1"/><Relationship Id="rId5" Type="http://schemas.openxmlformats.org/officeDocument/2006/relationships/hyperlink" Target="#'Control 3'!A1"/><Relationship Id="rId4" Type="http://schemas.openxmlformats.org/officeDocument/2006/relationships/image" Target="../media/image15.svg"/><Relationship Id="rId9" Type="http://schemas.openxmlformats.org/officeDocument/2006/relationships/image" Target="../media/image39.png"/></Relationships>
</file>

<file path=xl/drawings/_rels/drawing36.xml.rels><?xml version="1.0" encoding="UTF-8" standalone="yes"?>
<Relationships xmlns="http://schemas.openxmlformats.org/package/2006/relationships"><Relationship Id="rId8" Type="http://schemas.openxmlformats.org/officeDocument/2006/relationships/hyperlink" Target="#Control!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2'!A1"/><Relationship Id="rId5" Type="http://schemas.openxmlformats.org/officeDocument/2006/relationships/hyperlink" Target="#'Control 4'!A1"/><Relationship Id="rId4" Type="http://schemas.openxmlformats.org/officeDocument/2006/relationships/image" Target="../media/image15.svg"/><Relationship Id="rId9" Type="http://schemas.openxmlformats.org/officeDocument/2006/relationships/image" Target="../media/image39.png"/></Relationships>
</file>

<file path=xl/drawings/_rels/drawing37.xml.rels><?xml version="1.0" encoding="UTF-8" standalone="yes"?>
<Relationships xmlns="http://schemas.openxmlformats.org/package/2006/relationships"><Relationship Id="rId8" Type="http://schemas.openxmlformats.org/officeDocument/2006/relationships/hyperlink" Target="#Control!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3'!A1"/><Relationship Id="rId5" Type="http://schemas.openxmlformats.org/officeDocument/2006/relationships/hyperlink" Target="#'Control 5'!A1"/><Relationship Id="rId4" Type="http://schemas.openxmlformats.org/officeDocument/2006/relationships/image" Target="../media/image15.svg"/><Relationship Id="rId9" Type="http://schemas.openxmlformats.org/officeDocument/2006/relationships/image" Target="../media/image40.png"/></Relationships>
</file>

<file path=xl/drawings/_rels/drawing38.xml.rels><?xml version="1.0" encoding="UTF-8" standalone="yes"?>
<Relationships xmlns="http://schemas.openxmlformats.org/package/2006/relationships"><Relationship Id="rId8" Type="http://schemas.openxmlformats.org/officeDocument/2006/relationships/hyperlink" Target="#Control!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4'!A1"/><Relationship Id="rId5" Type="http://schemas.openxmlformats.org/officeDocument/2006/relationships/hyperlink" Target="#'Control 6'!A1"/><Relationship Id="rId4" Type="http://schemas.openxmlformats.org/officeDocument/2006/relationships/image" Target="../media/image15.svg"/><Relationship Id="rId9" Type="http://schemas.openxmlformats.org/officeDocument/2006/relationships/image" Target="../media/image40.png"/></Relationships>
</file>

<file path=xl/drawings/_rels/drawing39.xml.rels><?xml version="1.0" encoding="UTF-8" standalone="yes"?>
<Relationships xmlns="http://schemas.openxmlformats.org/package/2006/relationships"><Relationship Id="rId8" Type="http://schemas.openxmlformats.org/officeDocument/2006/relationships/hyperlink" Target="#Control!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5'!A1"/><Relationship Id="rId5" Type="http://schemas.openxmlformats.org/officeDocument/2006/relationships/hyperlink" Target="#'Control 7'!A1"/><Relationship Id="rId4" Type="http://schemas.openxmlformats.org/officeDocument/2006/relationships/image" Target="../media/image15.svg"/><Relationship Id="rId9" Type="http://schemas.openxmlformats.org/officeDocument/2006/relationships/image" Target="../media/image39.png"/></Relationships>
</file>

<file path=xl/drawings/_rels/drawing4.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5.svg"/><Relationship Id="rId7" Type="http://schemas.openxmlformats.org/officeDocument/2006/relationships/hyperlink" Target="#Control!A1"/><Relationship Id="rId2" Type="http://schemas.openxmlformats.org/officeDocument/2006/relationships/image" Target="../media/image14.png"/><Relationship Id="rId1" Type="http://schemas.openxmlformats.org/officeDocument/2006/relationships/hyperlink" Target="#Menu!A1"/><Relationship Id="rId6" Type="http://schemas.openxmlformats.org/officeDocument/2006/relationships/hyperlink" Target="#Adquisici&#243;n!A1"/><Relationship Id="rId5" Type="http://schemas.openxmlformats.org/officeDocument/2006/relationships/hyperlink" Target="#Estrat&#233;gia!A1"/><Relationship Id="rId10" Type="http://schemas.openxmlformats.org/officeDocument/2006/relationships/hyperlink" Target="#Descarte!A1"/><Relationship Id="rId4" Type="http://schemas.openxmlformats.org/officeDocument/2006/relationships/image" Target="../media/image18.png"/><Relationship Id="rId9" Type="http://schemas.openxmlformats.org/officeDocument/2006/relationships/hyperlink" Target="#Mantenimiento!A1"/></Relationships>
</file>

<file path=xl/drawings/_rels/drawing40.xml.rels><?xml version="1.0" encoding="UTF-8" standalone="yes"?>
<Relationships xmlns="http://schemas.openxmlformats.org/package/2006/relationships"><Relationship Id="rId8" Type="http://schemas.openxmlformats.org/officeDocument/2006/relationships/hyperlink" Target="#Control!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6'!A1"/><Relationship Id="rId5" Type="http://schemas.openxmlformats.org/officeDocument/2006/relationships/hyperlink" Target="#'Control 8'!A1"/><Relationship Id="rId4" Type="http://schemas.openxmlformats.org/officeDocument/2006/relationships/image" Target="../media/image15.svg"/><Relationship Id="rId9" Type="http://schemas.openxmlformats.org/officeDocument/2006/relationships/image" Target="../media/image39.png"/></Relationships>
</file>

<file path=xl/drawings/_rels/drawing41.xml.rels><?xml version="1.0" encoding="UTF-8" standalone="yes"?>
<Relationships xmlns="http://schemas.openxmlformats.org/package/2006/relationships"><Relationship Id="rId8" Type="http://schemas.openxmlformats.org/officeDocument/2006/relationships/image" Target="../media/image41.png"/><Relationship Id="rId3" Type="http://schemas.openxmlformats.org/officeDocument/2006/relationships/image" Target="../media/image14.png"/><Relationship Id="rId7" Type="http://schemas.openxmlformats.org/officeDocument/2006/relationships/hyperlink" Target="#Control!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7'!A1"/><Relationship Id="rId5" Type="http://schemas.openxmlformats.org/officeDocument/2006/relationships/hyperlink" Target="#'Control 9'!A1"/><Relationship Id="rId4" Type="http://schemas.openxmlformats.org/officeDocument/2006/relationships/image" Target="../media/image15.svg"/><Relationship Id="rId9" Type="http://schemas.openxmlformats.org/officeDocument/2006/relationships/hyperlink" Target="#Instruciones!A1"/></Relationships>
</file>

<file path=xl/drawings/_rels/drawing42.xml.rels><?xml version="1.0" encoding="UTF-8" standalone="yes"?>
<Relationships xmlns="http://schemas.openxmlformats.org/package/2006/relationships"><Relationship Id="rId8" Type="http://schemas.openxmlformats.org/officeDocument/2006/relationships/image" Target="../media/image41.png"/><Relationship Id="rId3" Type="http://schemas.openxmlformats.org/officeDocument/2006/relationships/image" Target="../media/image14.png"/><Relationship Id="rId7" Type="http://schemas.openxmlformats.org/officeDocument/2006/relationships/hyperlink" Target="#Control!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8'!A1"/><Relationship Id="rId5" Type="http://schemas.openxmlformats.org/officeDocument/2006/relationships/hyperlink" Target="#'Control 10'!A1"/><Relationship Id="rId4" Type="http://schemas.openxmlformats.org/officeDocument/2006/relationships/image" Target="../media/image15.svg"/><Relationship Id="rId9" Type="http://schemas.openxmlformats.org/officeDocument/2006/relationships/hyperlink" Target="#Instruciones!A1"/></Relationships>
</file>

<file path=xl/drawings/_rels/drawing43.xml.rels><?xml version="1.0" encoding="UTF-8" standalone="yes"?>
<Relationships xmlns="http://schemas.openxmlformats.org/package/2006/relationships"><Relationship Id="rId8" Type="http://schemas.openxmlformats.org/officeDocument/2006/relationships/hyperlink" Target="#Control!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9'!A1"/><Relationship Id="rId5" Type="http://schemas.openxmlformats.org/officeDocument/2006/relationships/hyperlink" Target="#'Control 11'!A1"/><Relationship Id="rId4" Type="http://schemas.openxmlformats.org/officeDocument/2006/relationships/image" Target="../media/image15.svg"/><Relationship Id="rId9" Type="http://schemas.openxmlformats.org/officeDocument/2006/relationships/image" Target="../media/image39.png"/></Relationships>
</file>

<file path=xl/drawings/_rels/drawing44.xml.rels><?xml version="1.0" encoding="UTF-8" standalone="yes"?>
<Relationships xmlns="http://schemas.openxmlformats.org/package/2006/relationships"><Relationship Id="rId8" Type="http://schemas.openxmlformats.org/officeDocument/2006/relationships/hyperlink" Target="#Control!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10'!A1"/><Relationship Id="rId5" Type="http://schemas.openxmlformats.org/officeDocument/2006/relationships/hyperlink" Target="#'Control 12'!A1"/><Relationship Id="rId4" Type="http://schemas.openxmlformats.org/officeDocument/2006/relationships/image" Target="../media/image15.svg"/><Relationship Id="rId9" Type="http://schemas.openxmlformats.org/officeDocument/2006/relationships/image" Target="../media/image40.png"/></Relationships>
</file>

<file path=xl/drawings/_rels/drawing45.xml.rels><?xml version="1.0" encoding="UTF-8" standalone="yes"?>
<Relationships xmlns="http://schemas.openxmlformats.org/package/2006/relationships"><Relationship Id="rId8" Type="http://schemas.openxmlformats.org/officeDocument/2006/relationships/image" Target="../media/image41.png"/><Relationship Id="rId3" Type="http://schemas.openxmlformats.org/officeDocument/2006/relationships/image" Target="../media/image14.png"/><Relationship Id="rId7" Type="http://schemas.openxmlformats.org/officeDocument/2006/relationships/hyperlink" Target="#Control!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11'!A1"/><Relationship Id="rId5" Type="http://schemas.openxmlformats.org/officeDocument/2006/relationships/hyperlink" Target="#'Control 13'!A1"/><Relationship Id="rId4" Type="http://schemas.openxmlformats.org/officeDocument/2006/relationships/image" Target="../media/image15.svg"/><Relationship Id="rId9" Type="http://schemas.openxmlformats.org/officeDocument/2006/relationships/hyperlink" Target="#Instruciones!A1"/></Relationships>
</file>

<file path=xl/drawings/_rels/drawing46.xml.rels><?xml version="1.0" encoding="UTF-8" standalone="yes"?>
<Relationships xmlns="http://schemas.openxmlformats.org/package/2006/relationships"><Relationship Id="rId8" Type="http://schemas.openxmlformats.org/officeDocument/2006/relationships/image" Target="../media/image40.png"/><Relationship Id="rId3" Type="http://schemas.openxmlformats.org/officeDocument/2006/relationships/image" Target="../media/image14.png"/><Relationship Id="rId7" Type="http://schemas.openxmlformats.org/officeDocument/2006/relationships/hyperlink" Target="#Control!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Instruciones!A1"/><Relationship Id="rId5" Type="http://schemas.openxmlformats.org/officeDocument/2006/relationships/hyperlink" Target="#'Control 12'!A1"/><Relationship Id="rId10" Type="http://schemas.openxmlformats.org/officeDocument/2006/relationships/hyperlink" Target="#'Mercado 1'!A1"/><Relationship Id="rId4" Type="http://schemas.openxmlformats.org/officeDocument/2006/relationships/image" Target="../media/image15.svg"/><Relationship Id="rId9" Type="http://schemas.openxmlformats.org/officeDocument/2006/relationships/hyperlink" Target="#'Control 13'!A1"/></Relationships>
</file>

<file path=xl/drawings/_rels/drawing47.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Control 13'!A1"/><Relationship Id="rId5" Type="http://schemas.openxmlformats.org/officeDocument/2006/relationships/hyperlink" Target="#'Mercado 2'!A1"/><Relationship Id="rId4" Type="http://schemas.openxmlformats.org/officeDocument/2006/relationships/image" Target="../media/image15.svg"/><Relationship Id="rId9" Type="http://schemas.openxmlformats.org/officeDocument/2006/relationships/image" Target="../media/image42.png"/></Relationships>
</file>

<file path=xl/drawings/_rels/drawing48.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1'!A1"/><Relationship Id="rId5" Type="http://schemas.openxmlformats.org/officeDocument/2006/relationships/hyperlink" Target="#'Mercado 3'!A1"/><Relationship Id="rId4" Type="http://schemas.openxmlformats.org/officeDocument/2006/relationships/image" Target="../media/image15.svg"/><Relationship Id="rId9" Type="http://schemas.openxmlformats.org/officeDocument/2006/relationships/image" Target="../media/image42.png"/></Relationships>
</file>

<file path=xl/drawings/_rels/drawing49.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2'!A1"/><Relationship Id="rId5" Type="http://schemas.openxmlformats.org/officeDocument/2006/relationships/hyperlink" Target="#'Mercado 4'!A1"/><Relationship Id="rId4" Type="http://schemas.openxmlformats.org/officeDocument/2006/relationships/image" Target="../media/image15.svg"/><Relationship Id="rId9" Type="http://schemas.openxmlformats.org/officeDocument/2006/relationships/image" Target="../media/image42.png"/></Relationships>
</file>

<file path=xl/drawings/_rels/drawing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14.png"/><Relationship Id="rId7" Type="http://schemas.openxmlformats.org/officeDocument/2006/relationships/hyperlink" Target="#'Exemplo ITEM'!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image" Target="../media/image20.svg"/><Relationship Id="rId11" Type="http://schemas.openxmlformats.org/officeDocument/2006/relationships/hyperlink" Target="#'Resumen Items'!A1"/><Relationship Id="rId5" Type="http://schemas.openxmlformats.org/officeDocument/2006/relationships/image" Target="../media/image19.png"/><Relationship Id="rId10" Type="http://schemas.openxmlformats.org/officeDocument/2006/relationships/image" Target="../media/image23.png"/><Relationship Id="rId4" Type="http://schemas.openxmlformats.org/officeDocument/2006/relationships/image" Target="../media/image15.svg"/><Relationship Id="rId9" Type="http://schemas.openxmlformats.org/officeDocument/2006/relationships/image" Target="../media/image22.png"/></Relationships>
</file>

<file path=xl/drawings/_rels/drawing50.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3'!A1"/><Relationship Id="rId5" Type="http://schemas.openxmlformats.org/officeDocument/2006/relationships/hyperlink" Target="#'Mercado 5'!A1"/><Relationship Id="rId4" Type="http://schemas.openxmlformats.org/officeDocument/2006/relationships/image" Target="../media/image15.svg"/><Relationship Id="rId9" Type="http://schemas.openxmlformats.org/officeDocument/2006/relationships/image" Target="../media/image42.png"/></Relationships>
</file>

<file path=xl/drawings/_rels/drawing51.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4'!A1"/><Relationship Id="rId5" Type="http://schemas.openxmlformats.org/officeDocument/2006/relationships/hyperlink" Target="#'Mercado 6'!A1"/><Relationship Id="rId4" Type="http://schemas.openxmlformats.org/officeDocument/2006/relationships/image" Target="../media/image15.svg"/><Relationship Id="rId9" Type="http://schemas.openxmlformats.org/officeDocument/2006/relationships/image" Target="../media/image42.png"/></Relationships>
</file>

<file path=xl/drawings/_rels/drawing52.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5'!A1"/><Relationship Id="rId5" Type="http://schemas.openxmlformats.org/officeDocument/2006/relationships/hyperlink" Target="#'Mercado 7'!A1"/><Relationship Id="rId4" Type="http://schemas.openxmlformats.org/officeDocument/2006/relationships/image" Target="../media/image15.svg"/><Relationship Id="rId9" Type="http://schemas.openxmlformats.org/officeDocument/2006/relationships/image" Target="../media/image42.png"/></Relationships>
</file>

<file path=xl/drawings/_rels/drawing53.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6'!A1"/><Relationship Id="rId5" Type="http://schemas.openxmlformats.org/officeDocument/2006/relationships/hyperlink" Target="#'Mercado 8'!A1"/><Relationship Id="rId4" Type="http://schemas.openxmlformats.org/officeDocument/2006/relationships/image" Target="../media/image15.svg"/><Relationship Id="rId9" Type="http://schemas.openxmlformats.org/officeDocument/2006/relationships/image" Target="../media/image42.png"/></Relationships>
</file>

<file path=xl/drawings/_rels/drawing54.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7'!A1"/><Relationship Id="rId5" Type="http://schemas.openxmlformats.org/officeDocument/2006/relationships/hyperlink" Target="#'Mercado 9'!A1"/><Relationship Id="rId4" Type="http://schemas.openxmlformats.org/officeDocument/2006/relationships/image" Target="../media/image15.svg"/><Relationship Id="rId9" Type="http://schemas.openxmlformats.org/officeDocument/2006/relationships/image" Target="../media/image42.png"/></Relationships>
</file>

<file path=xl/drawings/_rels/drawing55.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8'!A1"/><Relationship Id="rId5" Type="http://schemas.openxmlformats.org/officeDocument/2006/relationships/hyperlink" Target="#'Mercado 10'!A1"/><Relationship Id="rId4" Type="http://schemas.openxmlformats.org/officeDocument/2006/relationships/image" Target="../media/image15.svg"/><Relationship Id="rId9" Type="http://schemas.openxmlformats.org/officeDocument/2006/relationships/image" Target="../media/image42.png"/></Relationships>
</file>

<file path=xl/drawings/_rels/drawing56.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9'!A1"/><Relationship Id="rId5" Type="http://schemas.openxmlformats.org/officeDocument/2006/relationships/hyperlink" Target="#'Mercado 11'!A1"/><Relationship Id="rId4" Type="http://schemas.openxmlformats.org/officeDocument/2006/relationships/image" Target="../media/image15.svg"/><Relationship Id="rId9" Type="http://schemas.openxmlformats.org/officeDocument/2006/relationships/image" Target="../media/image42.png"/></Relationships>
</file>

<file path=xl/drawings/_rels/drawing57.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10'!A1"/><Relationship Id="rId5" Type="http://schemas.openxmlformats.org/officeDocument/2006/relationships/hyperlink" Target="#'Mercado 12'!A1"/><Relationship Id="rId4" Type="http://schemas.openxmlformats.org/officeDocument/2006/relationships/image" Target="../media/image15.svg"/><Relationship Id="rId9" Type="http://schemas.openxmlformats.org/officeDocument/2006/relationships/image" Target="../media/image42.png"/></Relationships>
</file>

<file path=xl/drawings/_rels/drawing58.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11'!A1"/><Relationship Id="rId5" Type="http://schemas.openxmlformats.org/officeDocument/2006/relationships/hyperlink" Target="#'Mercado 13'!A1"/><Relationship Id="rId4" Type="http://schemas.openxmlformats.org/officeDocument/2006/relationships/image" Target="../media/image15.svg"/><Relationship Id="rId9" Type="http://schemas.openxmlformats.org/officeDocument/2006/relationships/image" Target="../media/image42.png"/></Relationships>
</file>

<file path=xl/drawings/_rels/drawing59.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12'!A1"/><Relationship Id="rId5" Type="http://schemas.openxmlformats.org/officeDocument/2006/relationships/hyperlink" Target="#'Mercado 14'!A1"/><Relationship Id="rId4" Type="http://schemas.openxmlformats.org/officeDocument/2006/relationships/image" Target="../media/image15.svg"/><Relationship Id="rId9" Type="http://schemas.openxmlformats.org/officeDocument/2006/relationships/image" Target="../media/image42.png"/></Relationships>
</file>

<file path=xl/drawings/_rels/drawing6.xml.rels><?xml version="1.0" encoding="UTF-8" standalone="yes"?>
<Relationships xmlns="http://schemas.openxmlformats.org/package/2006/relationships"><Relationship Id="rId8" Type="http://schemas.openxmlformats.org/officeDocument/2006/relationships/image" Target="../media/image27.jpeg"/><Relationship Id="rId13" Type="http://schemas.openxmlformats.org/officeDocument/2006/relationships/hyperlink" Target="#Instruciones!A1"/><Relationship Id="rId3" Type="http://schemas.openxmlformats.org/officeDocument/2006/relationships/image" Target="../media/image14.png"/><Relationship Id="rId7" Type="http://schemas.openxmlformats.org/officeDocument/2006/relationships/image" Target="../media/image26.jpeg"/><Relationship Id="rId12" Type="http://schemas.openxmlformats.org/officeDocument/2006/relationships/image" Target="../media/image31.png"/><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image" Target="../media/image25.jpeg"/><Relationship Id="rId11" Type="http://schemas.openxmlformats.org/officeDocument/2006/relationships/image" Target="../media/image30.png"/><Relationship Id="rId5" Type="http://schemas.openxmlformats.org/officeDocument/2006/relationships/image" Target="../media/image24.jpeg"/><Relationship Id="rId10" Type="http://schemas.openxmlformats.org/officeDocument/2006/relationships/image" Target="../media/image29.png"/><Relationship Id="rId4" Type="http://schemas.openxmlformats.org/officeDocument/2006/relationships/image" Target="../media/image15.svg"/><Relationship Id="rId9" Type="http://schemas.openxmlformats.org/officeDocument/2006/relationships/image" Target="../media/image28.jpeg"/><Relationship Id="rId14" Type="http://schemas.openxmlformats.org/officeDocument/2006/relationships/hyperlink" Target="#'Resumen Items'!A1"/></Relationships>
</file>

<file path=xl/drawings/_rels/drawing60.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13'!A1"/><Relationship Id="rId5" Type="http://schemas.openxmlformats.org/officeDocument/2006/relationships/hyperlink" Target="#'Mercado 15'!A1"/><Relationship Id="rId4" Type="http://schemas.openxmlformats.org/officeDocument/2006/relationships/image" Target="../media/image15.svg"/><Relationship Id="rId9" Type="http://schemas.openxmlformats.org/officeDocument/2006/relationships/image" Target="../media/image42.png"/></Relationships>
</file>

<file path=xl/drawings/_rels/drawing61.xml.rels><?xml version="1.0" encoding="UTF-8" standalone="yes"?>
<Relationships xmlns="http://schemas.openxmlformats.org/package/2006/relationships"><Relationship Id="rId8" Type="http://schemas.openxmlformats.org/officeDocument/2006/relationships/hyperlink" Target="#Mercad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14'!A1"/><Relationship Id="rId5" Type="http://schemas.openxmlformats.org/officeDocument/2006/relationships/hyperlink" Target="#'Mantenimiento 1'!A1"/><Relationship Id="rId4" Type="http://schemas.openxmlformats.org/officeDocument/2006/relationships/image" Target="../media/image15.svg"/><Relationship Id="rId9" Type="http://schemas.openxmlformats.org/officeDocument/2006/relationships/image" Target="../media/image42.png"/></Relationships>
</file>

<file path=xl/drawings/_rels/drawing62.xml.rels><?xml version="1.0" encoding="UTF-8" standalone="yes"?>
<Relationships xmlns="http://schemas.openxmlformats.org/package/2006/relationships"><Relationship Id="rId8" Type="http://schemas.openxmlformats.org/officeDocument/2006/relationships/hyperlink" Target="#Mantenimient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ercado 15'!A1"/><Relationship Id="rId5" Type="http://schemas.openxmlformats.org/officeDocument/2006/relationships/hyperlink" Target="#'Mantenimiento 2'!A1"/><Relationship Id="rId4" Type="http://schemas.openxmlformats.org/officeDocument/2006/relationships/image" Target="../media/image15.svg"/><Relationship Id="rId9" Type="http://schemas.openxmlformats.org/officeDocument/2006/relationships/image" Target="../media/image43.png"/></Relationships>
</file>

<file path=xl/drawings/_rels/drawing63.xml.rels><?xml version="1.0" encoding="UTF-8" standalone="yes"?>
<Relationships xmlns="http://schemas.openxmlformats.org/package/2006/relationships"><Relationship Id="rId8" Type="http://schemas.openxmlformats.org/officeDocument/2006/relationships/hyperlink" Target="#Mantenimient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antenimiento 1'!A1"/><Relationship Id="rId5" Type="http://schemas.openxmlformats.org/officeDocument/2006/relationships/hyperlink" Target="#'Mantenimiento 3'!A1"/><Relationship Id="rId4" Type="http://schemas.openxmlformats.org/officeDocument/2006/relationships/image" Target="../media/image15.svg"/><Relationship Id="rId9" Type="http://schemas.openxmlformats.org/officeDocument/2006/relationships/image" Target="../media/image43.png"/></Relationships>
</file>

<file path=xl/drawings/_rels/drawing64.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43.png"/><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antenimiento!A1"/><Relationship Id="rId5" Type="http://schemas.openxmlformats.org/officeDocument/2006/relationships/hyperlink" Target="#Instruciones!A1"/><Relationship Id="rId4" Type="http://schemas.openxmlformats.org/officeDocument/2006/relationships/image" Target="../media/image15.svg"/></Relationships>
</file>

<file path=xl/drawings/_rels/drawing65.xml.rels><?xml version="1.0" encoding="UTF-8" standalone="yes"?>
<Relationships xmlns="http://schemas.openxmlformats.org/package/2006/relationships"><Relationship Id="rId8" Type="http://schemas.openxmlformats.org/officeDocument/2006/relationships/hyperlink" Target="#Mantenimient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antenimiento 3'!A1"/><Relationship Id="rId5" Type="http://schemas.openxmlformats.org/officeDocument/2006/relationships/hyperlink" Target="#'Mantenimiento 5'!A1"/><Relationship Id="rId4" Type="http://schemas.openxmlformats.org/officeDocument/2006/relationships/image" Target="../media/image15.svg"/><Relationship Id="rId9" Type="http://schemas.openxmlformats.org/officeDocument/2006/relationships/image" Target="../media/image43.png"/></Relationships>
</file>

<file path=xl/drawings/_rels/drawing66.xml.rels><?xml version="1.0" encoding="UTF-8" standalone="yes"?>
<Relationships xmlns="http://schemas.openxmlformats.org/package/2006/relationships"><Relationship Id="rId8" Type="http://schemas.openxmlformats.org/officeDocument/2006/relationships/hyperlink" Target="#Mantenimient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antenimiento 4'!A1"/><Relationship Id="rId5" Type="http://schemas.openxmlformats.org/officeDocument/2006/relationships/hyperlink" Target="#'Mantenimiento 6'!A1"/><Relationship Id="rId4" Type="http://schemas.openxmlformats.org/officeDocument/2006/relationships/image" Target="../media/image15.svg"/><Relationship Id="rId9" Type="http://schemas.openxmlformats.org/officeDocument/2006/relationships/image" Target="../media/image43.png"/></Relationships>
</file>

<file path=xl/drawings/_rels/drawing67.xml.rels><?xml version="1.0" encoding="UTF-8" standalone="yes"?>
<Relationships xmlns="http://schemas.openxmlformats.org/package/2006/relationships"><Relationship Id="rId8" Type="http://schemas.openxmlformats.org/officeDocument/2006/relationships/hyperlink" Target="#Mantenimient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antenimiento 5'!A1"/><Relationship Id="rId5" Type="http://schemas.openxmlformats.org/officeDocument/2006/relationships/hyperlink" Target="#'Mantenimiento 7'!A1"/><Relationship Id="rId4" Type="http://schemas.openxmlformats.org/officeDocument/2006/relationships/image" Target="../media/image15.svg"/><Relationship Id="rId9" Type="http://schemas.openxmlformats.org/officeDocument/2006/relationships/image" Target="../media/image43.png"/></Relationships>
</file>

<file path=xl/drawings/_rels/drawing68.xml.rels><?xml version="1.0" encoding="UTF-8" standalone="yes"?>
<Relationships xmlns="http://schemas.openxmlformats.org/package/2006/relationships"><Relationship Id="rId8" Type="http://schemas.openxmlformats.org/officeDocument/2006/relationships/hyperlink" Target="#Mantenimient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antenimiento 6'!A1"/><Relationship Id="rId5" Type="http://schemas.openxmlformats.org/officeDocument/2006/relationships/hyperlink" Target="#'Mantenimiento 8'!A1"/><Relationship Id="rId4" Type="http://schemas.openxmlformats.org/officeDocument/2006/relationships/image" Target="../media/image15.svg"/><Relationship Id="rId9" Type="http://schemas.openxmlformats.org/officeDocument/2006/relationships/image" Target="../media/image43.png"/></Relationships>
</file>

<file path=xl/drawings/_rels/drawing69.xml.rels><?xml version="1.0" encoding="UTF-8" standalone="yes"?>
<Relationships xmlns="http://schemas.openxmlformats.org/package/2006/relationships"><Relationship Id="rId8" Type="http://schemas.openxmlformats.org/officeDocument/2006/relationships/hyperlink" Target="#Mantenimient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antenimiento 7'!A1"/><Relationship Id="rId5" Type="http://schemas.openxmlformats.org/officeDocument/2006/relationships/hyperlink" Target="#'Mantenimiento 9'!A1"/><Relationship Id="rId4" Type="http://schemas.openxmlformats.org/officeDocument/2006/relationships/image" Target="../media/image15.svg"/><Relationship Id="rId9" Type="http://schemas.openxmlformats.org/officeDocument/2006/relationships/image" Target="../media/image43.png"/></Relationships>
</file>

<file path=xl/drawings/_rels/drawing7.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Menu!A1"/><Relationship Id="rId6" Type="http://schemas.openxmlformats.org/officeDocument/2006/relationships/hyperlink" Target="#'Resumen Items'!A1"/><Relationship Id="rId5" Type="http://schemas.openxmlformats.org/officeDocument/2006/relationships/image" Target="../media/image3.png"/><Relationship Id="rId4" Type="http://schemas.openxmlformats.org/officeDocument/2006/relationships/image" Target="../media/image13.png"/></Relationships>
</file>

<file path=xl/drawings/_rels/drawing70.xml.rels><?xml version="1.0" encoding="UTF-8" standalone="yes"?>
<Relationships xmlns="http://schemas.openxmlformats.org/package/2006/relationships"><Relationship Id="rId8" Type="http://schemas.openxmlformats.org/officeDocument/2006/relationships/hyperlink" Target="#Mantenimiento!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antenimiento 8'!A1"/><Relationship Id="rId5" Type="http://schemas.openxmlformats.org/officeDocument/2006/relationships/hyperlink" Target="#'Mantenimiento 10'!A1"/><Relationship Id="rId4" Type="http://schemas.openxmlformats.org/officeDocument/2006/relationships/image" Target="../media/image15.svg"/><Relationship Id="rId9" Type="http://schemas.openxmlformats.org/officeDocument/2006/relationships/image" Target="../media/image43.png"/></Relationships>
</file>

<file path=xl/drawings/_rels/drawing71.xml.rels><?xml version="1.0" encoding="UTF-8" standalone="yes"?>
<Relationships xmlns="http://schemas.openxmlformats.org/package/2006/relationships"><Relationship Id="rId8" Type="http://schemas.openxmlformats.org/officeDocument/2006/relationships/image" Target="../media/image43.png"/><Relationship Id="rId3" Type="http://schemas.openxmlformats.org/officeDocument/2006/relationships/image" Target="../media/image14.png"/><Relationship Id="rId7" Type="http://schemas.openxmlformats.org/officeDocument/2006/relationships/hyperlink" Target="#Mantenimiento!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Instruciones!A1"/><Relationship Id="rId5" Type="http://schemas.openxmlformats.org/officeDocument/2006/relationships/hyperlink" Target="#'Descarte 1'!A1"/><Relationship Id="rId4" Type="http://schemas.openxmlformats.org/officeDocument/2006/relationships/image" Target="../media/image15.svg"/></Relationships>
</file>

<file path=xl/drawings/_rels/drawing72.xml.rels><?xml version="1.0" encoding="UTF-8" standalone="yes"?>
<Relationships xmlns="http://schemas.openxmlformats.org/package/2006/relationships"><Relationship Id="rId8" Type="http://schemas.openxmlformats.org/officeDocument/2006/relationships/hyperlink" Target="#Descarte!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Mantenimiento 10'!A1"/><Relationship Id="rId5" Type="http://schemas.openxmlformats.org/officeDocument/2006/relationships/hyperlink" Target="#'Descarte 2'!A1"/><Relationship Id="rId4" Type="http://schemas.openxmlformats.org/officeDocument/2006/relationships/image" Target="../media/image15.svg"/><Relationship Id="rId9" Type="http://schemas.openxmlformats.org/officeDocument/2006/relationships/image" Target="../media/image12.png"/></Relationships>
</file>

<file path=xl/drawings/_rels/drawing73.xml.rels><?xml version="1.0" encoding="UTF-8" standalone="yes"?>
<Relationships xmlns="http://schemas.openxmlformats.org/package/2006/relationships"><Relationship Id="rId8" Type="http://schemas.openxmlformats.org/officeDocument/2006/relationships/hyperlink" Target="#Descarte!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Descarte 1'!A1"/><Relationship Id="rId5" Type="http://schemas.openxmlformats.org/officeDocument/2006/relationships/hyperlink" Target="#'Descarte 3'!A1"/><Relationship Id="rId4" Type="http://schemas.openxmlformats.org/officeDocument/2006/relationships/image" Target="../media/image15.svg"/><Relationship Id="rId9" Type="http://schemas.openxmlformats.org/officeDocument/2006/relationships/image" Target="../media/image12.png"/></Relationships>
</file>

<file path=xl/drawings/_rels/drawing74.xml.rels><?xml version="1.0" encoding="UTF-8" standalone="yes"?>
<Relationships xmlns="http://schemas.openxmlformats.org/package/2006/relationships"><Relationship Id="rId8" Type="http://schemas.openxmlformats.org/officeDocument/2006/relationships/hyperlink" Target="#Descarte!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Descarte 2'!A1"/><Relationship Id="rId5" Type="http://schemas.openxmlformats.org/officeDocument/2006/relationships/hyperlink" Target="#'Descarte 4'!A1"/><Relationship Id="rId4" Type="http://schemas.openxmlformats.org/officeDocument/2006/relationships/image" Target="../media/image15.svg"/><Relationship Id="rId9" Type="http://schemas.openxmlformats.org/officeDocument/2006/relationships/image" Target="../media/image12.png"/></Relationships>
</file>

<file path=xl/drawings/_rels/drawing75.xml.rels><?xml version="1.0" encoding="UTF-8" standalone="yes"?>
<Relationships xmlns="http://schemas.openxmlformats.org/package/2006/relationships"><Relationship Id="rId8" Type="http://schemas.openxmlformats.org/officeDocument/2006/relationships/hyperlink" Target="#Descarte!A1"/><Relationship Id="rId3" Type="http://schemas.openxmlformats.org/officeDocument/2006/relationships/image" Target="../media/image14.png"/><Relationship Id="rId7" Type="http://schemas.openxmlformats.org/officeDocument/2006/relationships/hyperlink" Target="#Instruciones!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Descarte 3'!A1"/><Relationship Id="rId5" Type="http://schemas.openxmlformats.org/officeDocument/2006/relationships/hyperlink" Target="#'Descarte 5'!A1"/><Relationship Id="rId4" Type="http://schemas.openxmlformats.org/officeDocument/2006/relationships/image" Target="../media/image15.svg"/><Relationship Id="rId9" Type="http://schemas.openxmlformats.org/officeDocument/2006/relationships/image" Target="../media/image12.png"/></Relationships>
</file>

<file path=xl/drawings/_rels/drawing7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14.png"/><Relationship Id="rId7" Type="http://schemas.openxmlformats.org/officeDocument/2006/relationships/hyperlink" Target="#Descarte!A1"/><Relationship Id="rId2" Type="http://schemas.openxmlformats.org/officeDocument/2006/relationships/hyperlink" Target="#Menu!A1"/><Relationship Id="rId1" Type="http://schemas.openxmlformats.org/officeDocument/2006/relationships/image" Target="../media/image13.png"/><Relationship Id="rId6" Type="http://schemas.openxmlformats.org/officeDocument/2006/relationships/hyperlink" Target="#Instruciones!A1"/><Relationship Id="rId5" Type="http://schemas.openxmlformats.org/officeDocument/2006/relationships/hyperlink" Target="#'Descarte 4'!A1"/><Relationship Id="rId4" Type="http://schemas.openxmlformats.org/officeDocument/2006/relationships/image" Target="../media/image15.svg"/></Relationships>
</file>

<file path=xl/drawings/_rels/drawing8.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Menu!A1"/><Relationship Id="rId6" Type="http://schemas.openxmlformats.org/officeDocument/2006/relationships/hyperlink" Target="#'Resumen Items'!A1"/><Relationship Id="rId5" Type="http://schemas.openxmlformats.org/officeDocument/2006/relationships/image" Target="../media/image32.png"/><Relationship Id="rId4" Type="http://schemas.openxmlformats.org/officeDocument/2006/relationships/image" Target="../media/image13.png"/></Relationships>
</file>

<file path=xl/drawings/_rels/drawing9.xml.rels><?xml version="1.0" encoding="UTF-8" standalone="yes"?>
<Relationships xmlns="http://schemas.openxmlformats.org/package/2006/relationships"><Relationship Id="rId3" Type="http://schemas.openxmlformats.org/officeDocument/2006/relationships/image" Target="../media/image15.svg"/><Relationship Id="rId2" Type="http://schemas.openxmlformats.org/officeDocument/2006/relationships/image" Target="../media/image14.png"/><Relationship Id="rId1" Type="http://schemas.openxmlformats.org/officeDocument/2006/relationships/hyperlink" Target="#Menu!A1"/><Relationship Id="rId6" Type="http://schemas.openxmlformats.org/officeDocument/2006/relationships/hyperlink" Target="#'Resumen Items'!A1"/><Relationship Id="rId5" Type="http://schemas.openxmlformats.org/officeDocument/2006/relationships/image" Target="../media/image33.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10</xdr:col>
      <xdr:colOff>179916</xdr:colOff>
      <xdr:row>6</xdr:row>
      <xdr:rowOff>74083</xdr:rowOff>
    </xdr:from>
    <xdr:to>
      <xdr:col>12</xdr:col>
      <xdr:colOff>444499</xdr:colOff>
      <xdr:row>11</xdr:row>
      <xdr:rowOff>152615</xdr:rowOff>
    </xdr:to>
    <xdr:pic>
      <xdr:nvPicPr>
        <xdr:cNvPr id="45" name="Imagem 44">
          <a:hlinkClick xmlns:r="http://schemas.openxmlformats.org/officeDocument/2006/relationships" r:id="rId1"/>
          <a:extLst>
            <a:ext uri="{FF2B5EF4-FFF2-40B4-BE49-F238E27FC236}">
              <a16:creationId xmlns:a16="http://schemas.microsoft.com/office/drawing/2014/main" id="{FF79F608-8217-45CE-89FE-B49B08DDC77A}"/>
            </a:ext>
          </a:extLst>
        </xdr:cNvPr>
        <xdr:cNvPicPr>
          <a:picLocks noChangeAspect="1"/>
        </xdr:cNvPicPr>
      </xdr:nvPicPr>
      <xdr:blipFill>
        <a:blip xmlns:r="http://schemas.openxmlformats.org/officeDocument/2006/relationships" r:embed="rId2"/>
        <a:stretch>
          <a:fillRect/>
        </a:stretch>
      </xdr:blipFill>
      <xdr:spPr>
        <a:xfrm>
          <a:off x="8159749" y="1841500"/>
          <a:ext cx="2476500" cy="1031032"/>
        </a:xfrm>
        <a:prstGeom prst="rect">
          <a:avLst/>
        </a:prstGeom>
        <a:effectLst>
          <a:outerShdw blurRad="50800" dist="38100" algn="l" rotWithShape="0">
            <a:prstClr val="black">
              <a:alpha val="40000"/>
            </a:prstClr>
          </a:outerShdw>
        </a:effectLst>
      </xdr:spPr>
    </xdr:pic>
    <xdr:clientData/>
  </xdr:twoCellAnchor>
  <xdr:twoCellAnchor editAs="oneCell">
    <xdr:from>
      <xdr:col>0</xdr:col>
      <xdr:colOff>199931</xdr:colOff>
      <xdr:row>0</xdr:row>
      <xdr:rowOff>234950</xdr:rowOff>
    </xdr:from>
    <xdr:to>
      <xdr:col>0</xdr:col>
      <xdr:colOff>783167</xdr:colOff>
      <xdr:row>1</xdr:row>
      <xdr:rowOff>339466</xdr:rowOff>
    </xdr:to>
    <xdr:pic>
      <xdr:nvPicPr>
        <xdr:cNvPr id="13" name="Imagem 9">
          <a:extLst>
            <a:ext uri="{FF2B5EF4-FFF2-40B4-BE49-F238E27FC236}">
              <a16:creationId xmlns:a16="http://schemas.microsoft.com/office/drawing/2014/main" id="{155935C4-3AFC-4562-BF2A-917A9D3E37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9931" y="234950"/>
          <a:ext cx="583236" cy="654849"/>
        </a:xfrm>
        <a:prstGeom prst="rect">
          <a:avLst/>
        </a:prstGeom>
      </xdr:spPr>
    </xdr:pic>
    <xdr:clientData/>
  </xdr:twoCellAnchor>
  <xdr:twoCellAnchor>
    <xdr:from>
      <xdr:col>2</xdr:col>
      <xdr:colOff>188860</xdr:colOff>
      <xdr:row>15</xdr:row>
      <xdr:rowOff>10583</xdr:rowOff>
    </xdr:from>
    <xdr:to>
      <xdr:col>2</xdr:col>
      <xdr:colOff>1349291</xdr:colOff>
      <xdr:row>20</xdr:row>
      <xdr:rowOff>107565</xdr:rowOff>
    </xdr:to>
    <xdr:grpSp>
      <xdr:nvGrpSpPr>
        <xdr:cNvPr id="27" name="Agrupar 26">
          <a:hlinkClick xmlns:r="http://schemas.openxmlformats.org/officeDocument/2006/relationships" r:id="rId4"/>
          <a:extLst>
            <a:ext uri="{FF2B5EF4-FFF2-40B4-BE49-F238E27FC236}">
              <a16:creationId xmlns:a16="http://schemas.microsoft.com/office/drawing/2014/main" id="{82E0BDCF-7899-4A2C-9AC9-447766D56839}"/>
            </a:ext>
          </a:extLst>
        </xdr:cNvPr>
        <xdr:cNvGrpSpPr/>
      </xdr:nvGrpSpPr>
      <xdr:grpSpPr>
        <a:xfrm>
          <a:off x="1924527" y="3492500"/>
          <a:ext cx="1160431" cy="1049482"/>
          <a:chOff x="4883728" y="173182"/>
          <a:chExt cx="1143001" cy="1125682"/>
        </a:xfrm>
      </xdr:grpSpPr>
      <xdr:sp macro="" textlink="">
        <xdr:nvSpPr>
          <xdr:cNvPr id="28" name="Elipse 27">
            <a:extLst>
              <a:ext uri="{FF2B5EF4-FFF2-40B4-BE49-F238E27FC236}">
                <a16:creationId xmlns:a16="http://schemas.microsoft.com/office/drawing/2014/main" id="{BEC92319-9CAC-06DF-98E7-05DEDF4791D9}"/>
              </a:ext>
            </a:extLst>
          </xdr:cNvPr>
          <xdr:cNvSpPr/>
        </xdr:nvSpPr>
        <xdr:spPr>
          <a:xfrm>
            <a:off x="4883728" y="207819"/>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29" name="Imagem 28">
            <a:extLst>
              <a:ext uri="{FF2B5EF4-FFF2-40B4-BE49-F238E27FC236}">
                <a16:creationId xmlns:a16="http://schemas.microsoft.com/office/drawing/2014/main" id="{51F72D15-A7FD-4EB8-310E-D3564E253B5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35682" y="173182"/>
            <a:ext cx="995267" cy="1116156"/>
          </a:xfrm>
          <a:prstGeom prst="rect">
            <a:avLst/>
          </a:prstGeom>
        </xdr:spPr>
      </xdr:pic>
    </xdr:grpSp>
    <xdr:clientData/>
  </xdr:twoCellAnchor>
  <xdr:twoCellAnchor>
    <xdr:from>
      <xdr:col>2</xdr:col>
      <xdr:colOff>1943546</xdr:colOff>
      <xdr:row>15</xdr:row>
      <xdr:rowOff>10583</xdr:rowOff>
    </xdr:from>
    <xdr:to>
      <xdr:col>4</xdr:col>
      <xdr:colOff>533849</xdr:colOff>
      <xdr:row>20</xdr:row>
      <xdr:rowOff>72928</xdr:rowOff>
    </xdr:to>
    <xdr:grpSp>
      <xdr:nvGrpSpPr>
        <xdr:cNvPr id="30" name="Agrupar 29">
          <a:hlinkClick xmlns:r="http://schemas.openxmlformats.org/officeDocument/2006/relationships" r:id="rId6"/>
          <a:extLst>
            <a:ext uri="{FF2B5EF4-FFF2-40B4-BE49-F238E27FC236}">
              <a16:creationId xmlns:a16="http://schemas.microsoft.com/office/drawing/2014/main" id="{9CA441D7-8834-4648-BFC0-FA4B2EA1B3F1}"/>
            </a:ext>
          </a:extLst>
        </xdr:cNvPr>
        <xdr:cNvGrpSpPr/>
      </xdr:nvGrpSpPr>
      <xdr:grpSpPr>
        <a:xfrm>
          <a:off x="3679213" y="3492500"/>
          <a:ext cx="1151469" cy="1014845"/>
          <a:chOff x="9022773" y="21388"/>
          <a:chExt cx="1593272" cy="1762386"/>
        </a:xfrm>
        <a:effectLst>
          <a:outerShdw blurRad="63500" sx="102000" sy="102000" algn="ctr" rotWithShape="0">
            <a:prstClr val="black">
              <a:alpha val="40000"/>
            </a:prstClr>
          </a:outerShdw>
        </a:effectLst>
      </xdr:grpSpPr>
      <xdr:sp macro="" textlink="">
        <xdr:nvSpPr>
          <xdr:cNvPr id="31" name="Elipse 30">
            <a:extLst>
              <a:ext uri="{FF2B5EF4-FFF2-40B4-BE49-F238E27FC236}">
                <a16:creationId xmlns:a16="http://schemas.microsoft.com/office/drawing/2014/main" id="{5772B101-2107-153F-26DC-AE7B79748BE3}"/>
              </a:ext>
            </a:extLst>
          </xdr:cNvPr>
          <xdr:cNvSpPr/>
        </xdr:nvSpPr>
        <xdr:spPr>
          <a:xfrm>
            <a:off x="9022773" y="21388"/>
            <a:ext cx="1593272" cy="176238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32" name="Imagem 31">
            <a:extLst>
              <a:ext uri="{FF2B5EF4-FFF2-40B4-BE49-F238E27FC236}">
                <a16:creationId xmlns:a16="http://schemas.microsoft.com/office/drawing/2014/main" id="{D7A2FA4A-86FB-2710-35F4-20FC6D2811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142685" y="155864"/>
            <a:ext cx="1364857" cy="1569519"/>
          </a:xfrm>
          <a:prstGeom prst="rect">
            <a:avLst/>
          </a:prstGeom>
          <a:ln>
            <a:noFill/>
          </a:ln>
        </xdr:spPr>
      </xdr:pic>
    </xdr:grpSp>
    <xdr:clientData/>
  </xdr:twoCellAnchor>
  <xdr:twoCellAnchor>
    <xdr:from>
      <xdr:col>5</xdr:col>
      <xdr:colOff>417974</xdr:colOff>
      <xdr:row>15</xdr:row>
      <xdr:rowOff>10583</xdr:rowOff>
    </xdr:from>
    <xdr:to>
      <xdr:col>7</xdr:col>
      <xdr:colOff>294585</xdr:colOff>
      <xdr:row>20</xdr:row>
      <xdr:rowOff>72928</xdr:rowOff>
    </xdr:to>
    <xdr:grpSp>
      <xdr:nvGrpSpPr>
        <xdr:cNvPr id="36" name="Agrupar 35">
          <a:hlinkClick xmlns:r="http://schemas.openxmlformats.org/officeDocument/2006/relationships" r:id="rId8"/>
          <a:extLst>
            <a:ext uri="{FF2B5EF4-FFF2-40B4-BE49-F238E27FC236}">
              <a16:creationId xmlns:a16="http://schemas.microsoft.com/office/drawing/2014/main" id="{852D0DA7-3956-4B54-A503-F8B6B2604279}"/>
            </a:ext>
          </a:extLst>
        </xdr:cNvPr>
        <xdr:cNvGrpSpPr/>
      </xdr:nvGrpSpPr>
      <xdr:grpSpPr>
        <a:xfrm>
          <a:off x="5328641" y="3492500"/>
          <a:ext cx="1104277" cy="1014845"/>
          <a:chOff x="4970318" y="190500"/>
          <a:chExt cx="1143001" cy="1091045"/>
        </a:xfrm>
      </xdr:grpSpPr>
      <xdr:sp macro="" textlink="">
        <xdr:nvSpPr>
          <xdr:cNvPr id="37" name="Elipse 36">
            <a:extLst>
              <a:ext uri="{FF2B5EF4-FFF2-40B4-BE49-F238E27FC236}">
                <a16:creationId xmlns:a16="http://schemas.microsoft.com/office/drawing/2014/main" id="{E97F5B5B-35FA-97AC-E5DB-F1389DF08E58}"/>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38" name="Imagem 37">
            <a:extLst>
              <a:ext uri="{FF2B5EF4-FFF2-40B4-BE49-F238E27FC236}">
                <a16:creationId xmlns:a16="http://schemas.microsoft.com/office/drawing/2014/main" id="{C5AD3019-E206-2CE2-4E29-10EB9F075E3D}"/>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twoCellAnchor>
    <xdr:from>
      <xdr:col>2</xdr:col>
      <xdr:colOff>50747</xdr:colOff>
      <xdr:row>20</xdr:row>
      <xdr:rowOff>143498</xdr:rowOff>
    </xdr:from>
    <xdr:to>
      <xdr:col>2</xdr:col>
      <xdr:colOff>1487403</xdr:colOff>
      <xdr:row>22</xdr:row>
      <xdr:rowOff>86348</xdr:rowOff>
    </xdr:to>
    <xdr:sp macro="" textlink="">
      <xdr:nvSpPr>
        <xdr:cNvPr id="16" name="Retângulo 15">
          <a:hlinkClick xmlns:r="http://schemas.openxmlformats.org/officeDocument/2006/relationships" r:id="rId4"/>
          <a:extLst>
            <a:ext uri="{FF2B5EF4-FFF2-40B4-BE49-F238E27FC236}">
              <a16:creationId xmlns:a16="http://schemas.microsoft.com/office/drawing/2014/main" id="{8DFF17C7-AC35-4AA9-824A-862547FE14C6}"/>
            </a:ext>
          </a:extLst>
        </xdr:cNvPr>
        <xdr:cNvSpPr/>
      </xdr:nvSpPr>
      <xdr:spPr>
        <a:xfrm>
          <a:off x="1786414" y="4577915"/>
          <a:ext cx="1436656" cy="323850"/>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Estratégia</a:t>
          </a:r>
        </a:p>
      </xdr:txBody>
    </xdr:sp>
    <xdr:clientData/>
  </xdr:twoCellAnchor>
  <xdr:twoCellAnchor>
    <xdr:from>
      <xdr:col>2</xdr:col>
      <xdr:colOff>1784298</xdr:colOff>
      <xdr:row>20</xdr:row>
      <xdr:rowOff>143498</xdr:rowOff>
    </xdr:from>
    <xdr:to>
      <xdr:col>5</xdr:col>
      <xdr:colOff>36991</xdr:colOff>
      <xdr:row>22</xdr:row>
      <xdr:rowOff>86348</xdr:rowOff>
    </xdr:to>
    <xdr:sp macro="" textlink="">
      <xdr:nvSpPr>
        <xdr:cNvPr id="17" name="Retângulo 16">
          <a:hlinkClick xmlns:r="http://schemas.openxmlformats.org/officeDocument/2006/relationships" r:id="rId6"/>
          <a:extLst>
            <a:ext uri="{FF2B5EF4-FFF2-40B4-BE49-F238E27FC236}">
              <a16:creationId xmlns:a16="http://schemas.microsoft.com/office/drawing/2014/main" id="{E984FDA5-0B72-4187-91BD-22279F71B548}"/>
            </a:ext>
          </a:extLst>
        </xdr:cNvPr>
        <xdr:cNvSpPr/>
      </xdr:nvSpPr>
      <xdr:spPr>
        <a:xfrm>
          <a:off x="3519965" y="4577915"/>
          <a:ext cx="1427693" cy="323850"/>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Aquisição</a:t>
          </a:r>
        </a:p>
      </xdr:txBody>
    </xdr:sp>
    <xdr:clientData/>
  </xdr:twoCellAnchor>
  <xdr:twoCellAnchor>
    <xdr:from>
      <xdr:col>5</xdr:col>
      <xdr:colOff>332249</xdr:colOff>
      <xdr:row>20</xdr:row>
      <xdr:rowOff>143498</xdr:rowOff>
    </xdr:from>
    <xdr:to>
      <xdr:col>7</xdr:col>
      <xdr:colOff>380310</xdr:colOff>
      <xdr:row>22</xdr:row>
      <xdr:rowOff>86348</xdr:rowOff>
    </xdr:to>
    <xdr:sp macro="" textlink="">
      <xdr:nvSpPr>
        <xdr:cNvPr id="19" name="Retângulo 18">
          <a:hlinkClick xmlns:r="http://schemas.openxmlformats.org/officeDocument/2006/relationships" r:id="rId8"/>
          <a:extLst>
            <a:ext uri="{FF2B5EF4-FFF2-40B4-BE49-F238E27FC236}">
              <a16:creationId xmlns:a16="http://schemas.microsoft.com/office/drawing/2014/main" id="{CC2B6429-76D4-462B-9604-AF4E3484066E}"/>
            </a:ext>
          </a:extLst>
        </xdr:cNvPr>
        <xdr:cNvSpPr/>
      </xdr:nvSpPr>
      <xdr:spPr>
        <a:xfrm>
          <a:off x="5242916" y="4577915"/>
          <a:ext cx="1275727" cy="323850"/>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Controle</a:t>
          </a:r>
        </a:p>
      </xdr:txBody>
    </xdr:sp>
    <xdr:clientData/>
  </xdr:twoCellAnchor>
  <xdr:twoCellAnchor>
    <xdr:from>
      <xdr:col>2</xdr:col>
      <xdr:colOff>1336676</xdr:colOff>
      <xdr:row>0</xdr:row>
      <xdr:rowOff>336863</xdr:rowOff>
    </xdr:from>
    <xdr:to>
      <xdr:col>3</xdr:col>
      <xdr:colOff>26031</xdr:colOff>
      <xdr:row>2</xdr:row>
      <xdr:rowOff>41276</xdr:rowOff>
    </xdr:to>
    <xdr:pic>
      <xdr:nvPicPr>
        <xdr:cNvPr id="50" name="Gráfico 7" descr="Início com preenchimento sólido">
          <a:extLst>
            <a:ext uri="{FF2B5EF4-FFF2-40B4-BE49-F238E27FC236}">
              <a16:creationId xmlns:a16="http://schemas.microsoft.com/office/drawing/2014/main" id="{B4880B15-50A8-4A1F-B22E-67EAE66B94ED}"/>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 uri="{96DAC541-7B7A-43D3-8B79-37D633B846F1}">
              <asvg:svgBlip xmlns:asvg="http://schemas.microsoft.com/office/drawing/2016/SVG/main" r:embed="rId11"/>
            </a:ext>
          </a:extLst>
        </a:blip>
        <a:stretch>
          <a:fillRect/>
        </a:stretch>
      </xdr:blipFill>
      <xdr:spPr>
        <a:xfrm>
          <a:off x="3072343" y="336863"/>
          <a:ext cx="636688" cy="603996"/>
        </a:xfrm>
        <a:prstGeom prst="rect">
          <a:avLst/>
        </a:prstGeom>
      </xdr:spPr>
    </xdr:pic>
    <xdr:clientData/>
  </xdr:twoCellAnchor>
  <xdr:twoCellAnchor editAs="oneCell">
    <xdr:from>
      <xdr:col>5</xdr:col>
      <xdr:colOff>380999</xdr:colOff>
      <xdr:row>6</xdr:row>
      <xdr:rowOff>52918</xdr:rowOff>
    </xdr:from>
    <xdr:to>
      <xdr:col>9</xdr:col>
      <xdr:colOff>137583</xdr:colOff>
      <xdr:row>11</xdr:row>
      <xdr:rowOff>106526</xdr:rowOff>
    </xdr:to>
    <xdr:pic>
      <xdr:nvPicPr>
        <xdr:cNvPr id="2" name="Picture 1">
          <a:hlinkClick xmlns:r="http://schemas.openxmlformats.org/officeDocument/2006/relationships" r:id="rId12"/>
          <a:extLst>
            <a:ext uri="{FF2B5EF4-FFF2-40B4-BE49-F238E27FC236}">
              <a16:creationId xmlns:a16="http://schemas.microsoft.com/office/drawing/2014/main" id="{1E8FEC47-917E-952E-A326-CA81292172B9}"/>
            </a:ext>
          </a:extLst>
        </xdr:cNvPr>
        <xdr:cNvPicPr>
          <a:picLocks noChangeAspect="1"/>
        </xdr:cNvPicPr>
      </xdr:nvPicPr>
      <xdr:blipFill>
        <a:blip xmlns:r="http://schemas.openxmlformats.org/officeDocument/2006/relationships" r:embed="rId13"/>
        <a:stretch>
          <a:fillRect/>
        </a:stretch>
      </xdr:blipFill>
      <xdr:spPr>
        <a:xfrm>
          <a:off x="5291666" y="1714501"/>
          <a:ext cx="2211917" cy="1006108"/>
        </a:xfrm>
        <a:prstGeom prst="rect">
          <a:avLst/>
        </a:prstGeom>
        <a:effectLst>
          <a:outerShdw blurRad="50800" dist="38100" dir="2700000" algn="tl" rotWithShape="0">
            <a:prstClr val="black">
              <a:alpha val="40000"/>
            </a:prstClr>
          </a:outerShdw>
        </a:effectLst>
      </xdr:spPr>
    </xdr:pic>
    <xdr:clientData/>
  </xdr:twoCellAnchor>
  <xdr:twoCellAnchor>
    <xdr:from>
      <xdr:col>6</xdr:col>
      <xdr:colOff>70286</xdr:colOff>
      <xdr:row>10</xdr:row>
      <xdr:rowOff>172073</xdr:rowOff>
    </xdr:from>
    <xdr:to>
      <xdr:col>8</xdr:col>
      <xdr:colOff>508000</xdr:colOff>
      <xdr:row>12</xdr:row>
      <xdr:rowOff>179916</xdr:rowOff>
    </xdr:to>
    <xdr:sp macro="" textlink="">
      <xdr:nvSpPr>
        <xdr:cNvPr id="39" name="Retângulo 38">
          <a:hlinkClick xmlns:r="http://schemas.openxmlformats.org/officeDocument/2006/relationships" r:id="rId12"/>
          <a:extLst>
            <a:ext uri="{FF2B5EF4-FFF2-40B4-BE49-F238E27FC236}">
              <a16:creationId xmlns:a16="http://schemas.microsoft.com/office/drawing/2014/main" id="{0838D307-33AC-41A7-BBE1-A582A7B7FBB8}"/>
            </a:ext>
          </a:extLst>
        </xdr:cNvPr>
        <xdr:cNvSpPr/>
      </xdr:nvSpPr>
      <xdr:spPr>
        <a:xfrm>
          <a:off x="5594786" y="2701490"/>
          <a:ext cx="1665381" cy="38884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RESUMO</a:t>
          </a:r>
          <a:r>
            <a:rPr lang="pt-BR" sz="1200" b="1" baseline="0">
              <a:solidFill>
                <a:sysClr val="windowText" lastClr="000000"/>
              </a:solidFill>
              <a:latin typeface="Century Gothic" panose="020B0502020202020204" pitchFamily="34" charset="0"/>
            </a:rPr>
            <a:t> DOS ITEMS</a:t>
          </a:r>
          <a:endParaRPr lang="pt-BR" sz="1200" b="1">
            <a:solidFill>
              <a:sysClr val="windowText" lastClr="000000"/>
            </a:solidFill>
            <a:latin typeface="Century Gothic" panose="020B0502020202020204" pitchFamily="34" charset="0"/>
          </a:endParaRPr>
        </a:p>
      </xdr:txBody>
    </xdr:sp>
    <xdr:clientData/>
  </xdr:twoCellAnchor>
  <xdr:twoCellAnchor editAs="oneCell">
    <xdr:from>
      <xdr:col>2</xdr:col>
      <xdr:colOff>539750</xdr:colOff>
      <xdr:row>6</xdr:row>
      <xdr:rowOff>42996</xdr:rowOff>
    </xdr:from>
    <xdr:to>
      <xdr:col>4</xdr:col>
      <xdr:colOff>402167</xdr:colOff>
      <xdr:row>11</xdr:row>
      <xdr:rowOff>117165</xdr:rowOff>
    </xdr:to>
    <xdr:pic>
      <xdr:nvPicPr>
        <xdr:cNvPr id="3" name="Picture 2">
          <a:hlinkClick xmlns:r="http://schemas.openxmlformats.org/officeDocument/2006/relationships" r:id="rId14"/>
          <a:extLst>
            <a:ext uri="{FF2B5EF4-FFF2-40B4-BE49-F238E27FC236}">
              <a16:creationId xmlns:a16="http://schemas.microsoft.com/office/drawing/2014/main" id="{4B5726CC-DC3B-6371-F484-6B502FE6064D}"/>
            </a:ext>
          </a:extLst>
        </xdr:cNvPr>
        <xdr:cNvPicPr>
          <a:picLocks noChangeAspect="1"/>
        </xdr:cNvPicPr>
      </xdr:nvPicPr>
      <xdr:blipFill>
        <a:blip xmlns:r="http://schemas.openxmlformats.org/officeDocument/2006/relationships" r:embed="rId15"/>
        <a:stretch>
          <a:fillRect/>
        </a:stretch>
      </xdr:blipFill>
      <xdr:spPr>
        <a:xfrm>
          <a:off x="2275417" y="1704579"/>
          <a:ext cx="2423583" cy="1026669"/>
        </a:xfrm>
        <a:prstGeom prst="rect">
          <a:avLst/>
        </a:prstGeom>
        <a:effectLst>
          <a:outerShdw blurRad="50800" dist="38100" dir="2700000" algn="tl" rotWithShape="0">
            <a:prstClr val="black">
              <a:alpha val="40000"/>
            </a:prstClr>
          </a:outerShdw>
        </a:effectLst>
      </xdr:spPr>
    </xdr:pic>
    <xdr:clientData/>
  </xdr:twoCellAnchor>
  <xdr:twoCellAnchor>
    <xdr:from>
      <xdr:col>2</xdr:col>
      <xdr:colOff>1019112</xdr:colOff>
      <xdr:row>11</xdr:row>
      <xdr:rowOff>44015</xdr:rowOff>
    </xdr:from>
    <xdr:to>
      <xdr:col>3</xdr:col>
      <xdr:colOff>508435</xdr:colOff>
      <xdr:row>12</xdr:row>
      <xdr:rowOff>101164</xdr:rowOff>
    </xdr:to>
    <xdr:sp macro="" textlink="">
      <xdr:nvSpPr>
        <xdr:cNvPr id="26" name="Retângulo 25">
          <a:hlinkClick xmlns:r="http://schemas.openxmlformats.org/officeDocument/2006/relationships" r:id="rId14"/>
          <a:extLst>
            <a:ext uri="{FF2B5EF4-FFF2-40B4-BE49-F238E27FC236}">
              <a16:creationId xmlns:a16="http://schemas.microsoft.com/office/drawing/2014/main" id="{5F794962-87CD-4D28-A7B4-57FB5C77ED15}"/>
            </a:ext>
          </a:extLst>
        </xdr:cNvPr>
        <xdr:cNvSpPr/>
      </xdr:nvSpPr>
      <xdr:spPr>
        <a:xfrm>
          <a:off x="2754779" y="2658098"/>
          <a:ext cx="1436656" cy="247649"/>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INSTRUÇÕES</a:t>
          </a:r>
        </a:p>
      </xdr:txBody>
    </xdr:sp>
    <xdr:clientData/>
  </xdr:twoCellAnchor>
  <xdr:twoCellAnchor>
    <xdr:from>
      <xdr:col>10</xdr:col>
      <xdr:colOff>695262</xdr:colOff>
      <xdr:row>11</xdr:row>
      <xdr:rowOff>5915</xdr:rowOff>
    </xdr:from>
    <xdr:to>
      <xdr:col>11</xdr:col>
      <xdr:colOff>1123265</xdr:colOff>
      <xdr:row>12</xdr:row>
      <xdr:rowOff>101164</xdr:rowOff>
    </xdr:to>
    <xdr:sp macro="" textlink="">
      <xdr:nvSpPr>
        <xdr:cNvPr id="40" name="Retângulo 39">
          <a:hlinkClick xmlns:r="http://schemas.openxmlformats.org/officeDocument/2006/relationships" r:id="rId1"/>
          <a:extLst>
            <a:ext uri="{FF2B5EF4-FFF2-40B4-BE49-F238E27FC236}">
              <a16:creationId xmlns:a16="http://schemas.microsoft.com/office/drawing/2014/main" id="{FCC1A645-0713-4EDF-83B3-93B1699E8218}"/>
            </a:ext>
          </a:extLst>
        </xdr:cNvPr>
        <xdr:cNvSpPr/>
      </xdr:nvSpPr>
      <xdr:spPr>
        <a:xfrm>
          <a:off x="8675095" y="2619998"/>
          <a:ext cx="1380503" cy="285749"/>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ANALISIS ITEMS</a:t>
          </a:r>
        </a:p>
      </xdr:txBody>
    </xdr:sp>
    <xdr:clientData/>
  </xdr:twoCellAnchor>
  <xdr:twoCellAnchor>
    <xdr:from>
      <xdr:col>8</xdr:col>
      <xdr:colOff>152538</xdr:colOff>
      <xdr:row>15</xdr:row>
      <xdr:rowOff>10583</xdr:rowOff>
    </xdr:from>
    <xdr:to>
      <xdr:col>10</xdr:col>
      <xdr:colOff>25539</xdr:colOff>
      <xdr:row>20</xdr:row>
      <xdr:rowOff>95250</xdr:rowOff>
    </xdr:to>
    <xdr:grpSp>
      <xdr:nvGrpSpPr>
        <xdr:cNvPr id="22" name="Agrupar 21">
          <a:hlinkClick xmlns:r="http://schemas.openxmlformats.org/officeDocument/2006/relationships" r:id="rId16"/>
          <a:extLst>
            <a:ext uri="{FF2B5EF4-FFF2-40B4-BE49-F238E27FC236}">
              <a16:creationId xmlns:a16="http://schemas.microsoft.com/office/drawing/2014/main" id="{26FC060B-12AB-44A8-B77E-787A6D558468}"/>
            </a:ext>
          </a:extLst>
        </xdr:cNvPr>
        <xdr:cNvGrpSpPr/>
      </xdr:nvGrpSpPr>
      <xdr:grpSpPr>
        <a:xfrm>
          <a:off x="6904705" y="3492500"/>
          <a:ext cx="1100667" cy="1037167"/>
          <a:chOff x="5615420" y="476250"/>
          <a:chExt cx="909205" cy="829829"/>
        </a:xfrm>
      </xdr:grpSpPr>
      <xdr:sp macro="" textlink="">
        <xdr:nvSpPr>
          <xdr:cNvPr id="23" name="Elipse 22">
            <a:extLst>
              <a:ext uri="{FF2B5EF4-FFF2-40B4-BE49-F238E27FC236}">
                <a16:creationId xmlns:a16="http://schemas.microsoft.com/office/drawing/2014/main" id="{E15AAF17-1B53-43BA-B9A6-0C0EE31E5F2C}"/>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24" name="Imagem 23">
            <a:extLst>
              <a:ext uri="{FF2B5EF4-FFF2-40B4-BE49-F238E27FC236}">
                <a16:creationId xmlns:a16="http://schemas.microsoft.com/office/drawing/2014/main" id="{821FD8D6-FC4A-8783-AF4A-42BAE0C61DD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twoCellAnchor>
    <xdr:from>
      <xdr:col>8</xdr:col>
      <xdr:colOff>65008</xdr:colOff>
      <xdr:row>20</xdr:row>
      <xdr:rowOff>143498</xdr:rowOff>
    </xdr:from>
    <xdr:to>
      <xdr:col>10</xdr:col>
      <xdr:colOff>113069</xdr:colOff>
      <xdr:row>22</xdr:row>
      <xdr:rowOff>86348</xdr:rowOff>
    </xdr:to>
    <xdr:sp macro="" textlink="">
      <xdr:nvSpPr>
        <xdr:cNvPr id="25" name="Retângulo 24">
          <a:hlinkClick xmlns:r="http://schemas.openxmlformats.org/officeDocument/2006/relationships" r:id="rId16"/>
          <a:extLst>
            <a:ext uri="{FF2B5EF4-FFF2-40B4-BE49-F238E27FC236}">
              <a16:creationId xmlns:a16="http://schemas.microsoft.com/office/drawing/2014/main" id="{4959B51E-2B66-4895-803F-9015E87EA232}"/>
            </a:ext>
          </a:extLst>
        </xdr:cNvPr>
        <xdr:cNvSpPr/>
      </xdr:nvSpPr>
      <xdr:spPr>
        <a:xfrm>
          <a:off x="6817175" y="4577915"/>
          <a:ext cx="1275727" cy="323850"/>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Mercado</a:t>
          </a:r>
        </a:p>
      </xdr:txBody>
    </xdr:sp>
    <xdr:clientData/>
  </xdr:twoCellAnchor>
  <xdr:twoCellAnchor>
    <xdr:from>
      <xdr:col>10</xdr:col>
      <xdr:colOff>537521</xdr:colOff>
      <xdr:row>15</xdr:row>
      <xdr:rowOff>10583</xdr:rowOff>
    </xdr:from>
    <xdr:to>
      <xdr:col>11</xdr:col>
      <xdr:colOff>675105</xdr:colOff>
      <xdr:row>20</xdr:row>
      <xdr:rowOff>67733</xdr:rowOff>
    </xdr:to>
    <xdr:grpSp>
      <xdr:nvGrpSpPr>
        <xdr:cNvPr id="33" name="Agrupar 32">
          <a:hlinkClick xmlns:r="http://schemas.openxmlformats.org/officeDocument/2006/relationships" r:id="rId18"/>
          <a:extLst>
            <a:ext uri="{FF2B5EF4-FFF2-40B4-BE49-F238E27FC236}">
              <a16:creationId xmlns:a16="http://schemas.microsoft.com/office/drawing/2014/main" id="{0251DCF4-9C27-4F82-8492-C8E57FA4C96A}"/>
            </a:ext>
          </a:extLst>
        </xdr:cNvPr>
        <xdr:cNvGrpSpPr/>
      </xdr:nvGrpSpPr>
      <xdr:grpSpPr>
        <a:xfrm>
          <a:off x="8517354" y="3492500"/>
          <a:ext cx="1090084" cy="1009650"/>
          <a:chOff x="5155045" y="476250"/>
          <a:chExt cx="909205" cy="829829"/>
        </a:xfrm>
      </xdr:grpSpPr>
      <xdr:sp macro="" textlink="">
        <xdr:nvSpPr>
          <xdr:cNvPr id="34" name="Elipse 33">
            <a:extLst>
              <a:ext uri="{FF2B5EF4-FFF2-40B4-BE49-F238E27FC236}">
                <a16:creationId xmlns:a16="http://schemas.microsoft.com/office/drawing/2014/main" id="{03BE50F3-87E4-9657-08DD-57D90ABC618C}"/>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35" name="Imagem 34">
            <a:extLst>
              <a:ext uri="{FF2B5EF4-FFF2-40B4-BE49-F238E27FC236}">
                <a16:creationId xmlns:a16="http://schemas.microsoft.com/office/drawing/2014/main" id="{30D7098A-E6B8-8929-E0DC-C3810EC30F3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twoCellAnchor>
    <xdr:from>
      <xdr:col>10</xdr:col>
      <xdr:colOff>409964</xdr:colOff>
      <xdr:row>20</xdr:row>
      <xdr:rowOff>143498</xdr:rowOff>
    </xdr:from>
    <xdr:to>
      <xdr:col>11</xdr:col>
      <xdr:colOff>802663</xdr:colOff>
      <xdr:row>22</xdr:row>
      <xdr:rowOff>86348</xdr:rowOff>
    </xdr:to>
    <xdr:sp macro="" textlink="">
      <xdr:nvSpPr>
        <xdr:cNvPr id="41" name="Retângulo 40">
          <a:hlinkClick xmlns:r="http://schemas.openxmlformats.org/officeDocument/2006/relationships" r:id="rId18"/>
          <a:extLst>
            <a:ext uri="{FF2B5EF4-FFF2-40B4-BE49-F238E27FC236}">
              <a16:creationId xmlns:a16="http://schemas.microsoft.com/office/drawing/2014/main" id="{650B9A8E-E5DB-4F57-840E-0775CABB566C}"/>
            </a:ext>
          </a:extLst>
        </xdr:cNvPr>
        <xdr:cNvSpPr/>
      </xdr:nvSpPr>
      <xdr:spPr>
        <a:xfrm>
          <a:off x="8389797" y="4577915"/>
          <a:ext cx="1345199" cy="323850"/>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Manutenção</a:t>
          </a:r>
        </a:p>
      </xdr:txBody>
    </xdr:sp>
    <xdr:clientData/>
  </xdr:twoCellAnchor>
  <xdr:twoCellAnchor>
    <xdr:from>
      <xdr:col>11</xdr:col>
      <xdr:colOff>1187090</xdr:colOff>
      <xdr:row>15</xdr:row>
      <xdr:rowOff>10583</xdr:rowOff>
    </xdr:from>
    <xdr:to>
      <xdr:col>13</xdr:col>
      <xdr:colOff>414507</xdr:colOff>
      <xdr:row>20</xdr:row>
      <xdr:rowOff>95250</xdr:rowOff>
    </xdr:to>
    <xdr:grpSp>
      <xdr:nvGrpSpPr>
        <xdr:cNvPr id="42" name="Agrupar 41">
          <a:hlinkClick xmlns:r="http://schemas.openxmlformats.org/officeDocument/2006/relationships" r:id="rId20"/>
          <a:extLst>
            <a:ext uri="{FF2B5EF4-FFF2-40B4-BE49-F238E27FC236}">
              <a16:creationId xmlns:a16="http://schemas.microsoft.com/office/drawing/2014/main" id="{5DAD96C6-A719-4944-960B-C5AC2C863337}"/>
            </a:ext>
          </a:extLst>
        </xdr:cNvPr>
        <xdr:cNvGrpSpPr/>
      </xdr:nvGrpSpPr>
      <xdr:grpSpPr>
        <a:xfrm>
          <a:off x="10119423" y="3492500"/>
          <a:ext cx="1100667" cy="1037167"/>
          <a:chOff x="5155045" y="476250"/>
          <a:chExt cx="909205" cy="829829"/>
        </a:xfrm>
      </xdr:grpSpPr>
      <xdr:sp macro="" textlink="">
        <xdr:nvSpPr>
          <xdr:cNvPr id="43" name="Elipse 42">
            <a:extLst>
              <a:ext uri="{FF2B5EF4-FFF2-40B4-BE49-F238E27FC236}">
                <a16:creationId xmlns:a16="http://schemas.microsoft.com/office/drawing/2014/main" id="{15C531D0-2CED-BA7C-1617-79A93E4F1B5E}"/>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44" name="Imagem 43">
            <a:extLst>
              <a:ext uri="{FF2B5EF4-FFF2-40B4-BE49-F238E27FC236}">
                <a16:creationId xmlns:a16="http://schemas.microsoft.com/office/drawing/2014/main" id="{A5BE15A3-7F83-C4E5-B4DF-E1918DEECB3C}"/>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20201" t="20238" r="20387" b="22619"/>
          <a:stretch/>
        </xdr:blipFill>
        <xdr:spPr>
          <a:xfrm>
            <a:off x="5270500" y="571500"/>
            <a:ext cx="677995" cy="650875"/>
          </a:xfrm>
          <a:prstGeom prst="rect">
            <a:avLst/>
          </a:prstGeom>
        </xdr:spPr>
      </xdr:pic>
    </xdr:grpSp>
    <xdr:clientData/>
  </xdr:twoCellAnchor>
  <xdr:twoCellAnchor>
    <xdr:from>
      <xdr:col>11</xdr:col>
      <xdr:colOff>1099560</xdr:colOff>
      <xdr:row>20</xdr:row>
      <xdr:rowOff>143498</xdr:rowOff>
    </xdr:from>
    <xdr:to>
      <xdr:col>13</xdr:col>
      <xdr:colOff>502037</xdr:colOff>
      <xdr:row>22</xdr:row>
      <xdr:rowOff>86348</xdr:rowOff>
    </xdr:to>
    <xdr:sp macro="" textlink="">
      <xdr:nvSpPr>
        <xdr:cNvPr id="49" name="Retângulo 48">
          <a:hlinkClick xmlns:r="http://schemas.openxmlformats.org/officeDocument/2006/relationships" r:id="rId20"/>
          <a:extLst>
            <a:ext uri="{FF2B5EF4-FFF2-40B4-BE49-F238E27FC236}">
              <a16:creationId xmlns:a16="http://schemas.microsoft.com/office/drawing/2014/main" id="{59B87143-B6F5-4263-8F0D-611BFE44B507}"/>
            </a:ext>
          </a:extLst>
        </xdr:cNvPr>
        <xdr:cNvSpPr/>
      </xdr:nvSpPr>
      <xdr:spPr>
        <a:xfrm>
          <a:off x="10031893" y="4577915"/>
          <a:ext cx="1275727" cy="323850"/>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Descarte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155864</xdr:colOff>
      <xdr:row>0</xdr:row>
      <xdr:rowOff>51955</xdr:rowOff>
    </xdr:from>
    <xdr:to>
      <xdr:col>25</xdr:col>
      <xdr:colOff>1246909</xdr:colOff>
      <xdr:row>2</xdr:row>
      <xdr:rowOff>363682</xdr:rowOff>
    </xdr:to>
    <xdr:grpSp>
      <xdr:nvGrpSpPr>
        <xdr:cNvPr id="2" name="Agrupar 2">
          <a:extLst>
            <a:ext uri="{FF2B5EF4-FFF2-40B4-BE49-F238E27FC236}">
              <a16:creationId xmlns:a16="http://schemas.microsoft.com/office/drawing/2014/main" id="{569AE082-AC02-494D-9AAD-438B148FB6B7}"/>
            </a:ext>
          </a:extLst>
        </xdr:cNvPr>
        <xdr:cNvGrpSpPr/>
      </xdr:nvGrpSpPr>
      <xdr:grpSpPr>
        <a:xfrm>
          <a:off x="17800927" y="51955"/>
          <a:ext cx="1091045" cy="1002290"/>
          <a:chOff x="21197455" y="95624"/>
          <a:chExt cx="1145098" cy="1203240"/>
        </a:xfrm>
      </xdr:grpSpPr>
      <xdr:pic>
        <xdr:nvPicPr>
          <xdr:cNvPr id="3" name="Gráfico 7" descr="Início com preenchimento sólido">
            <a:hlinkClick xmlns:r="http://schemas.openxmlformats.org/officeDocument/2006/relationships" r:id="rId1"/>
            <a:extLst>
              <a:ext uri="{FF2B5EF4-FFF2-40B4-BE49-F238E27FC236}">
                <a16:creationId xmlns:a16="http://schemas.microsoft.com/office/drawing/2014/main" id="{497DFEF7-C994-7596-A188-09BFF61E62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332579" y="95624"/>
            <a:ext cx="900752" cy="943467"/>
          </a:xfrm>
          <a:prstGeom prst="rect">
            <a:avLst/>
          </a:prstGeom>
        </xdr:spPr>
      </xdr:pic>
      <xdr:sp macro="" textlink="">
        <xdr:nvSpPr>
          <xdr:cNvPr id="4" name="TextBox 18">
            <a:extLst>
              <a:ext uri="{FF2B5EF4-FFF2-40B4-BE49-F238E27FC236}">
                <a16:creationId xmlns:a16="http://schemas.microsoft.com/office/drawing/2014/main" id="{E9910F8F-726E-27F4-7E32-4C0B6595E848}"/>
              </a:ext>
            </a:extLst>
          </xdr:cNvPr>
          <xdr:cNvSpPr txBox="1"/>
        </xdr:nvSpPr>
        <xdr:spPr>
          <a:xfrm>
            <a:off x="21197455" y="923546"/>
            <a:ext cx="1145098" cy="37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solidFill>
                  <a:schemeClr val="tx1">
                    <a:lumMod val="75000"/>
                    <a:lumOff val="25000"/>
                  </a:schemeClr>
                </a:solidFill>
                <a:latin typeface="Century Gothic" panose="020B0502020202020204" pitchFamily="34" charset="0"/>
              </a:rPr>
              <a:t>Inicio</a:t>
            </a:r>
          </a:p>
        </xdr:txBody>
      </xdr:sp>
    </xdr:grpSp>
    <xdr:clientData/>
  </xdr:twoCellAnchor>
  <xdr:twoCellAnchor editAs="oneCell">
    <xdr:from>
      <xdr:col>1</xdr:col>
      <xdr:colOff>329047</xdr:colOff>
      <xdr:row>1</xdr:row>
      <xdr:rowOff>103909</xdr:rowOff>
    </xdr:from>
    <xdr:to>
      <xdr:col>1</xdr:col>
      <xdr:colOff>1087871</xdr:colOff>
      <xdr:row>2</xdr:row>
      <xdr:rowOff>534547</xdr:rowOff>
    </xdr:to>
    <xdr:pic>
      <xdr:nvPicPr>
        <xdr:cNvPr id="5" name="Imagem 9">
          <a:extLst>
            <a:ext uri="{FF2B5EF4-FFF2-40B4-BE49-F238E27FC236}">
              <a16:creationId xmlns:a16="http://schemas.microsoft.com/office/drawing/2014/main" id="{2537F982-4175-4592-B317-4E57C9E0B6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1922" y="246784"/>
          <a:ext cx="761999" cy="983088"/>
        </a:xfrm>
        <a:prstGeom prst="rect">
          <a:avLst/>
        </a:prstGeom>
      </xdr:spPr>
    </xdr:pic>
    <xdr:clientData/>
  </xdr:twoCellAnchor>
  <xdr:twoCellAnchor>
    <xdr:from>
      <xdr:col>5</xdr:col>
      <xdr:colOff>138545</xdr:colOff>
      <xdr:row>1</xdr:row>
      <xdr:rowOff>333375</xdr:rowOff>
    </xdr:from>
    <xdr:to>
      <xdr:col>5</xdr:col>
      <xdr:colOff>1047750</xdr:colOff>
      <xdr:row>3</xdr:row>
      <xdr:rowOff>51954</xdr:rowOff>
    </xdr:to>
    <xdr:grpSp>
      <xdr:nvGrpSpPr>
        <xdr:cNvPr id="13" name="Agrupar 11">
          <a:extLst>
            <a:ext uri="{FF2B5EF4-FFF2-40B4-BE49-F238E27FC236}">
              <a16:creationId xmlns:a16="http://schemas.microsoft.com/office/drawing/2014/main" id="{26F9B7A3-D0E2-DBF2-F0D4-9E0DBBA6295D}"/>
            </a:ext>
          </a:extLst>
        </xdr:cNvPr>
        <xdr:cNvGrpSpPr/>
      </xdr:nvGrpSpPr>
      <xdr:grpSpPr>
        <a:xfrm>
          <a:off x="5615420" y="476250"/>
          <a:ext cx="909205" cy="813954"/>
          <a:chOff x="5615420" y="476250"/>
          <a:chExt cx="909205" cy="829829"/>
        </a:xfrm>
      </xdr:grpSpPr>
      <xdr:sp macro="" textlink="">
        <xdr:nvSpPr>
          <xdr:cNvPr id="14" name="Elipse 6">
            <a:extLst>
              <a:ext uri="{FF2B5EF4-FFF2-40B4-BE49-F238E27FC236}">
                <a16:creationId xmlns:a16="http://schemas.microsoft.com/office/drawing/2014/main" id="{138A5F63-62CD-8235-5FA0-997188F1A863}"/>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10">
            <a:extLst>
              <a:ext uri="{FF2B5EF4-FFF2-40B4-BE49-F238E27FC236}">
                <a16:creationId xmlns:a16="http://schemas.microsoft.com/office/drawing/2014/main" id="{79E4320E-D5C7-56C2-236C-0564B4B10EA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twoCellAnchor>
    <xdr:from>
      <xdr:col>26</xdr:col>
      <xdr:colOff>1</xdr:colOff>
      <xdr:row>1</xdr:row>
      <xdr:rowOff>83553</xdr:rowOff>
    </xdr:from>
    <xdr:to>
      <xdr:col>27</xdr:col>
      <xdr:colOff>493280</xdr:colOff>
      <xdr:row>2</xdr:row>
      <xdr:rowOff>191641</xdr:rowOff>
    </xdr:to>
    <xdr:sp macro="" textlink="">
      <xdr:nvSpPr>
        <xdr:cNvPr id="10" name="Retângulo 9">
          <a:hlinkClick xmlns:r="http://schemas.openxmlformats.org/officeDocument/2006/relationships" r:id="rId6"/>
          <a:extLst>
            <a:ext uri="{FF2B5EF4-FFF2-40B4-BE49-F238E27FC236}">
              <a16:creationId xmlns:a16="http://schemas.microsoft.com/office/drawing/2014/main" id="{1ADA1B0A-D457-4622-8E63-8E442C5F8E5A}"/>
            </a:ext>
          </a:extLst>
        </xdr:cNvPr>
        <xdr:cNvSpPr/>
      </xdr:nvSpPr>
      <xdr:spPr>
        <a:xfrm>
          <a:off x="18999869" y="233948"/>
          <a:ext cx="1763279" cy="65953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RESUMO</a:t>
          </a:r>
          <a:r>
            <a:rPr lang="pt-BR" sz="1800" baseline="0">
              <a:solidFill>
                <a:sysClr val="windowText" lastClr="000000"/>
              </a:solidFill>
              <a:latin typeface="Century Gothic" panose="020B0502020202020204" pitchFamily="34" charset="0"/>
            </a:rPr>
            <a:t> DOS ITENS</a:t>
          </a:r>
          <a:endParaRPr lang="pt-BR" sz="1800">
            <a:solidFill>
              <a:sysClr val="windowText" lastClr="000000"/>
            </a:solidFill>
            <a:latin typeface="Century Gothic" panose="020B0502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155864</xdr:colOff>
      <xdr:row>0</xdr:row>
      <xdr:rowOff>51955</xdr:rowOff>
    </xdr:from>
    <xdr:to>
      <xdr:col>25</xdr:col>
      <xdr:colOff>1246909</xdr:colOff>
      <xdr:row>2</xdr:row>
      <xdr:rowOff>363682</xdr:rowOff>
    </xdr:to>
    <xdr:grpSp>
      <xdr:nvGrpSpPr>
        <xdr:cNvPr id="2" name="Agrupar 2">
          <a:extLst>
            <a:ext uri="{FF2B5EF4-FFF2-40B4-BE49-F238E27FC236}">
              <a16:creationId xmlns:a16="http://schemas.microsoft.com/office/drawing/2014/main" id="{06085EB0-6F3C-4784-99D4-F1D3E6DD76E4}"/>
            </a:ext>
          </a:extLst>
        </xdr:cNvPr>
        <xdr:cNvGrpSpPr/>
      </xdr:nvGrpSpPr>
      <xdr:grpSpPr>
        <a:xfrm>
          <a:off x="17896177" y="51955"/>
          <a:ext cx="1091045" cy="1002290"/>
          <a:chOff x="21197455" y="95624"/>
          <a:chExt cx="1145098" cy="1203240"/>
        </a:xfrm>
      </xdr:grpSpPr>
      <xdr:pic>
        <xdr:nvPicPr>
          <xdr:cNvPr id="3" name="Gráfico 7" descr="Início com preenchimento sólido">
            <a:hlinkClick xmlns:r="http://schemas.openxmlformats.org/officeDocument/2006/relationships" r:id="rId1"/>
            <a:extLst>
              <a:ext uri="{FF2B5EF4-FFF2-40B4-BE49-F238E27FC236}">
                <a16:creationId xmlns:a16="http://schemas.microsoft.com/office/drawing/2014/main" id="{7F7A79D1-8638-F2F7-7726-05D0D43033F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332579" y="95624"/>
            <a:ext cx="900752" cy="943467"/>
          </a:xfrm>
          <a:prstGeom prst="rect">
            <a:avLst/>
          </a:prstGeom>
        </xdr:spPr>
      </xdr:pic>
      <xdr:sp macro="" textlink="">
        <xdr:nvSpPr>
          <xdr:cNvPr id="4" name="TextBox 18">
            <a:extLst>
              <a:ext uri="{FF2B5EF4-FFF2-40B4-BE49-F238E27FC236}">
                <a16:creationId xmlns:a16="http://schemas.microsoft.com/office/drawing/2014/main" id="{D7D5AD0E-7FC8-71BD-714B-5CE2DF8A889A}"/>
              </a:ext>
            </a:extLst>
          </xdr:cNvPr>
          <xdr:cNvSpPr txBox="1"/>
        </xdr:nvSpPr>
        <xdr:spPr>
          <a:xfrm>
            <a:off x="21197455" y="923546"/>
            <a:ext cx="1145098" cy="37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solidFill>
                  <a:schemeClr val="tx1">
                    <a:lumMod val="75000"/>
                    <a:lumOff val="25000"/>
                  </a:schemeClr>
                </a:solidFill>
                <a:latin typeface="Century Gothic" panose="020B0502020202020204" pitchFamily="34" charset="0"/>
              </a:rPr>
              <a:t>Inicio</a:t>
            </a:r>
          </a:p>
        </xdr:txBody>
      </xdr:sp>
    </xdr:grpSp>
    <xdr:clientData/>
  </xdr:twoCellAnchor>
  <xdr:twoCellAnchor editAs="oneCell">
    <xdr:from>
      <xdr:col>1</xdr:col>
      <xdr:colOff>329047</xdr:colOff>
      <xdr:row>1</xdr:row>
      <xdr:rowOff>103909</xdr:rowOff>
    </xdr:from>
    <xdr:to>
      <xdr:col>1</xdr:col>
      <xdr:colOff>1091046</xdr:colOff>
      <xdr:row>2</xdr:row>
      <xdr:rowOff>534547</xdr:rowOff>
    </xdr:to>
    <xdr:pic>
      <xdr:nvPicPr>
        <xdr:cNvPr id="5" name="Imagem 9">
          <a:extLst>
            <a:ext uri="{FF2B5EF4-FFF2-40B4-BE49-F238E27FC236}">
              <a16:creationId xmlns:a16="http://schemas.microsoft.com/office/drawing/2014/main" id="{FBBD877C-2126-4349-8E40-A2AA8CF9AB8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1922" y="246784"/>
          <a:ext cx="761999" cy="983088"/>
        </a:xfrm>
        <a:prstGeom prst="rect">
          <a:avLst/>
        </a:prstGeom>
      </xdr:spPr>
    </xdr:pic>
    <xdr:clientData/>
  </xdr:twoCellAnchor>
  <xdr:twoCellAnchor>
    <xdr:from>
      <xdr:col>5</xdr:col>
      <xdr:colOff>138545</xdr:colOff>
      <xdr:row>1</xdr:row>
      <xdr:rowOff>333375</xdr:rowOff>
    </xdr:from>
    <xdr:to>
      <xdr:col>5</xdr:col>
      <xdr:colOff>1047750</xdr:colOff>
      <xdr:row>3</xdr:row>
      <xdr:rowOff>51954</xdr:rowOff>
    </xdr:to>
    <xdr:grpSp>
      <xdr:nvGrpSpPr>
        <xdr:cNvPr id="12" name="Agrupar 11">
          <a:extLst>
            <a:ext uri="{FF2B5EF4-FFF2-40B4-BE49-F238E27FC236}">
              <a16:creationId xmlns:a16="http://schemas.microsoft.com/office/drawing/2014/main" id="{A5172820-57CA-24C6-3E95-338B1C9CFB0F}"/>
            </a:ext>
          </a:extLst>
        </xdr:cNvPr>
        <xdr:cNvGrpSpPr/>
      </xdr:nvGrpSpPr>
      <xdr:grpSpPr>
        <a:xfrm>
          <a:off x="5710670" y="476250"/>
          <a:ext cx="909205" cy="813954"/>
          <a:chOff x="5155045" y="476250"/>
          <a:chExt cx="909205" cy="829829"/>
        </a:xfrm>
      </xdr:grpSpPr>
      <xdr:sp macro="" textlink="">
        <xdr:nvSpPr>
          <xdr:cNvPr id="7" name="Elipse 6">
            <a:extLst>
              <a:ext uri="{FF2B5EF4-FFF2-40B4-BE49-F238E27FC236}">
                <a16:creationId xmlns:a16="http://schemas.microsoft.com/office/drawing/2014/main" id="{B8629C08-CDBC-A6FF-06EE-065BF0726A7F}"/>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1" name="Imagem 10">
            <a:extLst>
              <a:ext uri="{FF2B5EF4-FFF2-40B4-BE49-F238E27FC236}">
                <a16:creationId xmlns:a16="http://schemas.microsoft.com/office/drawing/2014/main" id="{2D461475-B970-66B3-90B9-A4E150C9417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twoCellAnchor>
    <xdr:from>
      <xdr:col>26</xdr:col>
      <xdr:colOff>76200</xdr:colOff>
      <xdr:row>1</xdr:row>
      <xdr:rowOff>95250</xdr:rowOff>
    </xdr:from>
    <xdr:to>
      <xdr:col>27</xdr:col>
      <xdr:colOff>563129</xdr:colOff>
      <xdr:row>2</xdr:row>
      <xdr:rowOff>202335</xdr:rowOff>
    </xdr:to>
    <xdr:sp macro="" textlink="">
      <xdr:nvSpPr>
        <xdr:cNvPr id="10" name="Retângulo 9">
          <a:hlinkClick xmlns:r="http://schemas.openxmlformats.org/officeDocument/2006/relationships" r:id="rId6"/>
          <a:extLst>
            <a:ext uri="{FF2B5EF4-FFF2-40B4-BE49-F238E27FC236}">
              <a16:creationId xmlns:a16="http://schemas.microsoft.com/office/drawing/2014/main" id="{074F98C9-BF13-40DC-AB9C-B4D1F217FBA5}"/>
            </a:ext>
          </a:extLst>
        </xdr:cNvPr>
        <xdr:cNvSpPr/>
      </xdr:nvSpPr>
      <xdr:spPr>
        <a:xfrm>
          <a:off x="19373850" y="247650"/>
          <a:ext cx="1763279" cy="65953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RESUMO</a:t>
          </a:r>
          <a:r>
            <a:rPr lang="pt-BR" sz="1800" baseline="0">
              <a:solidFill>
                <a:sysClr val="windowText" lastClr="000000"/>
              </a:solidFill>
              <a:latin typeface="Century Gothic" panose="020B0502020202020204" pitchFamily="34" charset="0"/>
            </a:rPr>
            <a:t> DOS ITENS</a:t>
          </a:r>
          <a:endParaRPr lang="pt-BR" sz="1800">
            <a:solidFill>
              <a:sysClr val="windowText" lastClr="000000"/>
            </a:solidFill>
            <a:latin typeface="Century Gothic" panose="020B0502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25</xdr:col>
      <xdr:colOff>155864</xdr:colOff>
      <xdr:row>0</xdr:row>
      <xdr:rowOff>51955</xdr:rowOff>
    </xdr:from>
    <xdr:to>
      <xdr:col>25</xdr:col>
      <xdr:colOff>1246909</xdr:colOff>
      <xdr:row>2</xdr:row>
      <xdr:rowOff>363682</xdr:rowOff>
    </xdr:to>
    <xdr:grpSp>
      <xdr:nvGrpSpPr>
        <xdr:cNvPr id="2" name="Agrupar 2">
          <a:extLst>
            <a:ext uri="{FF2B5EF4-FFF2-40B4-BE49-F238E27FC236}">
              <a16:creationId xmlns:a16="http://schemas.microsoft.com/office/drawing/2014/main" id="{505264B1-528C-4D78-82FF-5E8D2301A256}"/>
            </a:ext>
          </a:extLst>
        </xdr:cNvPr>
        <xdr:cNvGrpSpPr/>
      </xdr:nvGrpSpPr>
      <xdr:grpSpPr>
        <a:xfrm>
          <a:off x="17681864" y="51955"/>
          <a:ext cx="1091045" cy="1016577"/>
          <a:chOff x="21197455" y="95624"/>
          <a:chExt cx="1145098" cy="1203240"/>
        </a:xfrm>
      </xdr:grpSpPr>
      <xdr:pic>
        <xdr:nvPicPr>
          <xdr:cNvPr id="3" name="Gráfico 7" descr="Início com preenchimento sólido">
            <a:hlinkClick xmlns:r="http://schemas.openxmlformats.org/officeDocument/2006/relationships" r:id="rId1"/>
            <a:extLst>
              <a:ext uri="{FF2B5EF4-FFF2-40B4-BE49-F238E27FC236}">
                <a16:creationId xmlns:a16="http://schemas.microsoft.com/office/drawing/2014/main" id="{A4A737BB-9D41-7558-6124-BCC5D997030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332579" y="95624"/>
            <a:ext cx="900752" cy="943467"/>
          </a:xfrm>
          <a:prstGeom prst="rect">
            <a:avLst/>
          </a:prstGeom>
        </xdr:spPr>
      </xdr:pic>
      <xdr:sp macro="" textlink="">
        <xdr:nvSpPr>
          <xdr:cNvPr id="4" name="TextBox 18">
            <a:extLst>
              <a:ext uri="{FF2B5EF4-FFF2-40B4-BE49-F238E27FC236}">
                <a16:creationId xmlns:a16="http://schemas.microsoft.com/office/drawing/2014/main" id="{463A0ADD-118B-734C-2FC9-8DC00586AC4B}"/>
              </a:ext>
            </a:extLst>
          </xdr:cNvPr>
          <xdr:cNvSpPr txBox="1"/>
        </xdr:nvSpPr>
        <xdr:spPr>
          <a:xfrm>
            <a:off x="21197455" y="923546"/>
            <a:ext cx="1145098" cy="37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solidFill>
                  <a:schemeClr val="tx1">
                    <a:lumMod val="75000"/>
                    <a:lumOff val="25000"/>
                  </a:schemeClr>
                </a:solidFill>
                <a:latin typeface="Century Gothic" panose="020B0502020202020204" pitchFamily="34" charset="0"/>
              </a:rPr>
              <a:t>Inicio</a:t>
            </a:r>
          </a:p>
        </xdr:txBody>
      </xdr:sp>
    </xdr:grpSp>
    <xdr:clientData/>
  </xdr:twoCellAnchor>
  <xdr:twoCellAnchor editAs="oneCell">
    <xdr:from>
      <xdr:col>1</xdr:col>
      <xdr:colOff>329047</xdr:colOff>
      <xdr:row>1</xdr:row>
      <xdr:rowOff>103909</xdr:rowOff>
    </xdr:from>
    <xdr:to>
      <xdr:col>1</xdr:col>
      <xdr:colOff>1087871</xdr:colOff>
      <xdr:row>2</xdr:row>
      <xdr:rowOff>534547</xdr:rowOff>
    </xdr:to>
    <xdr:pic>
      <xdr:nvPicPr>
        <xdr:cNvPr id="5" name="Imagem 9">
          <a:extLst>
            <a:ext uri="{FF2B5EF4-FFF2-40B4-BE49-F238E27FC236}">
              <a16:creationId xmlns:a16="http://schemas.microsoft.com/office/drawing/2014/main" id="{1AED52CD-D43D-408F-A979-5DFAF7E9F25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1922" y="246784"/>
          <a:ext cx="761999" cy="983088"/>
        </a:xfrm>
        <a:prstGeom prst="rect">
          <a:avLst/>
        </a:prstGeom>
      </xdr:spPr>
    </xdr:pic>
    <xdr:clientData/>
  </xdr:twoCellAnchor>
  <xdr:twoCellAnchor>
    <xdr:from>
      <xdr:col>5</xdr:col>
      <xdr:colOff>138545</xdr:colOff>
      <xdr:row>1</xdr:row>
      <xdr:rowOff>333375</xdr:rowOff>
    </xdr:from>
    <xdr:to>
      <xdr:col>5</xdr:col>
      <xdr:colOff>1047750</xdr:colOff>
      <xdr:row>3</xdr:row>
      <xdr:rowOff>51954</xdr:rowOff>
    </xdr:to>
    <xdr:grpSp>
      <xdr:nvGrpSpPr>
        <xdr:cNvPr id="12" name="Agrupar 11">
          <a:extLst>
            <a:ext uri="{FF2B5EF4-FFF2-40B4-BE49-F238E27FC236}">
              <a16:creationId xmlns:a16="http://schemas.microsoft.com/office/drawing/2014/main" id="{62AF22FE-0BFF-6483-640B-9AEBFC638EDE}"/>
            </a:ext>
          </a:extLst>
        </xdr:cNvPr>
        <xdr:cNvGrpSpPr/>
      </xdr:nvGrpSpPr>
      <xdr:grpSpPr>
        <a:xfrm>
          <a:off x="5262995" y="485775"/>
          <a:ext cx="909205" cy="823479"/>
          <a:chOff x="5155045" y="476250"/>
          <a:chExt cx="909205" cy="829829"/>
        </a:xfrm>
      </xdr:grpSpPr>
      <xdr:sp macro="" textlink="">
        <xdr:nvSpPr>
          <xdr:cNvPr id="7" name="Elipse 6">
            <a:extLst>
              <a:ext uri="{FF2B5EF4-FFF2-40B4-BE49-F238E27FC236}">
                <a16:creationId xmlns:a16="http://schemas.microsoft.com/office/drawing/2014/main" id="{D083ECB4-ABFD-81B8-401A-CBE986D431EF}"/>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1" name="Imagem 10">
            <a:extLst>
              <a:ext uri="{FF2B5EF4-FFF2-40B4-BE49-F238E27FC236}">
                <a16:creationId xmlns:a16="http://schemas.microsoft.com/office/drawing/2014/main" id="{008B2588-8ABF-011F-765D-4AA98A93D72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0201" t="20238" r="20387" b="22619"/>
          <a:stretch/>
        </xdr:blipFill>
        <xdr:spPr>
          <a:xfrm>
            <a:off x="5270500" y="571500"/>
            <a:ext cx="677995" cy="650875"/>
          </a:xfrm>
          <a:prstGeom prst="rect">
            <a:avLst/>
          </a:prstGeom>
        </xdr:spPr>
      </xdr:pic>
    </xdr:grpSp>
    <xdr:clientData/>
  </xdr:twoCellAnchor>
  <xdr:twoCellAnchor>
    <xdr:from>
      <xdr:col>26</xdr:col>
      <xdr:colOff>19050</xdr:colOff>
      <xdr:row>1</xdr:row>
      <xdr:rowOff>95250</xdr:rowOff>
    </xdr:from>
    <xdr:to>
      <xdr:col>27</xdr:col>
      <xdr:colOff>505979</xdr:colOff>
      <xdr:row>2</xdr:row>
      <xdr:rowOff>202335</xdr:rowOff>
    </xdr:to>
    <xdr:sp macro="" textlink="">
      <xdr:nvSpPr>
        <xdr:cNvPr id="10" name="Retângulo 9">
          <a:hlinkClick xmlns:r="http://schemas.openxmlformats.org/officeDocument/2006/relationships" r:id="rId6"/>
          <a:extLst>
            <a:ext uri="{FF2B5EF4-FFF2-40B4-BE49-F238E27FC236}">
              <a16:creationId xmlns:a16="http://schemas.microsoft.com/office/drawing/2014/main" id="{5ECC0AA5-7B34-415D-BAA8-575035312FFE}"/>
            </a:ext>
          </a:extLst>
        </xdr:cNvPr>
        <xdr:cNvSpPr/>
      </xdr:nvSpPr>
      <xdr:spPr>
        <a:xfrm>
          <a:off x="18840450" y="247650"/>
          <a:ext cx="1763279" cy="65953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RESUMO</a:t>
          </a:r>
          <a:r>
            <a:rPr lang="pt-BR" sz="1800" baseline="0">
              <a:solidFill>
                <a:sysClr val="windowText" lastClr="000000"/>
              </a:solidFill>
              <a:latin typeface="Century Gothic" panose="020B0502020202020204" pitchFamily="34" charset="0"/>
            </a:rPr>
            <a:t> DOS ITENS</a:t>
          </a:r>
          <a:endParaRPr lang="pt-BR" sz="1800">
            <a:solidFill>
              <a:sysClr val="windowText" lastClr="000000"/>
            </a:solidFill>
            <a:latin typeface="Century Gothic" panose="020B0502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5C2A5979-11DE-4F9D-B43E-1F0210B183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28" y="245807"/>
          <a:ext cx="946692" cy="987025"/>
        </a:xfrm>
        <a:prstGeom prst="rect">
          <a:avLst/>
        </a:prstGeom>
      </xdr:spPr>
    </xdr:pic>
    <xdr:clientData/>
  </xdr:twoCellAnchor>
  <xdr:twoCellAnchor>
    <xdr:from>
      <xdr:col>10</xdr:col>
      <xdr:colOff>159778</xdr:colOff>
      <xdr:row>1</xdr:row>
      <xdr:rowOff>353346</xdr:rowOff>
    </xdr:from>
    <xdr:to>
      <xdr:col>10</xdr:col>
      <xdr:colOff>1167582</xdr:colOff>
      <xdr:row>4</xdr:row>
      <xdr:rowOff>35994</xdr:rowOff>
    </xdr:to>
    <xdr:grpSp>
      <xdr:nvGrpSpPr>
        <xdr:cNvPr id="3" name="Group 14">
          <a:hlinkClick xmlns:r="http://schemas.openxmlformats.org/officeDocument/2006/relationships" r:id="rId2"/>
          <a:extLst>
            <a:ext uri="{FF2B5EF4-FFF2-40B4-BE49-F238E27FC236}">
              <a16:creationId xmlns:a16="http://schemas.microsoft.com/office/drawing/2014/main" id="{F9A31BC7-92E9-46F0-B284-D4553074B7D7}"/>
            </a:ext>
          </a:extLst>
        </xdr:cNvPr>
        <xdr:cNvGrpSpPr/>
      </xdr:nvGrpSpPr>
      <xdr:grpSpPr>
        <a:xfrm>
          <a:off x="5517591" y="496221"/>
          <a:ext cx="1007804" cy="920898"/>
          <a:chOff x="1766260" y="812959"/>
          <a:chExt cx="1113414" cy="1033899"/>
        </a:xfrm>
      </xdr:grpSpPr>
      <xdr:sp macro="" textlink="">
        <xdr:nvSpPr>
          <xdr:cNvPr id="4" name="Elipse 4">
            <a:extLst>
              <a:ext uri="{FF2B5EF4-FFF2-40B4-BE49-F238E27FC236}">
                <a16:creationId xmlns:a16="http://schemas.microsoft.com/office/drawing/2014/main" id="{C5B6B94A-26AD-E151-07AE-31AF5766EEF0}"/>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5" name="Imagem 5">
            <a:extLst>
              <a:ext uri="{FF2B5EF4-FFF2-40B4-BE49-F238E27FC236}">
                <a16:creationId xmlns:a16="http://schemas.microsoft.com/office/drawing/2014/main" id="{20A2DF50-BFE5-45FB-01D4-023AA6D791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oneCellAnchor>
    <xdr:from>
      <xdr:col>17</xdr:col>
      <xdr:colOff>1208586</xdr:colOff>
      <xdr:row>0</xdr:row>
      <xdr:rowOff>46089</xdr:rowOff>
    </xdr:from>
    <xdr:ext cx="646896" cy="677573"/>
    <xdr:pic>
      <xdr:nvPicPr>
        <xdr:cNvPr id="6" name="Gráfico 5" descr="Início com preenchimento sólido">
          <a:hlinkClick xmlns:r="http://schemas.openxmlformats.org/officeDocument/2006/relationships" r:id="rId4"/>
          <a:extLst>
            <a:ext uri="{FF2B5EF4-FFF2-40B4-BE49-F238E27FC236}">
              <a16:creationId xmlns:a16="http://schemas.microsoft.com/office/drawing/2014/main" id="{3640E76A-EAF6-4320-BE57-F2A7B6ABA26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7324271" y="46089"/>
          <a:ext cx="646896" cy="677573"/>
        </a:xfrm>
        <a:prstGeom prst="rect">
          <a:avLst/>
        </a:prstGeom>
      </xdr:spPr>
    </xdr:pic>
    <xdr:clientData/>
  </xdr:oneCellAnchor>
  <xdr:twoCellAnchor>
    <xdr:from>
      <xdr:col>17</xdr:col>
      <xdr:colOff>1062060</xdr:colOff>
      <xdr:row>1</xdr:row>
      <xdr:rowOff>519863</xdr:rowOff>
    </xdr:from>
    <xdr:to>
      <xdr:col>18</xdr:col>
      <xdr:colOff>449739</xdr:colOff>
      <xdr:row>2</xdr:row>
      <xdr:rowOff>234113</xdr:rowOff>
    </xdr:to>
    <xdr:sp macro="" textlink="">
      <xdr:nvSpPr>
        <xdr:cNvPr id="7" name="TextBox 18">
          <a:extLst>
            <a:ext uri="{FF2B5EF4-FFF2-40B4-BE49-F238E27FC236}">
              <a16:creationId xmlns:a16="http://schemas.microsoft.com/office/drawing/2014/main" id="{7719B26C-CB30-4562-93EC-B14D6FBB5390}"/>
            </a:ext>
          </a:extLst>
        </xdr:cNvPr>
        <xdr:cNvSpPr txBox="1"/>
      </xdr:nvSpPr>
      <xdr:spPr>
        <a:xfrm>
          <a:off x="17177745" y="658129"/>
          <a:ext cx="923970" cy="267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332263</xdr:colOff>
      <xdr:row>1</xdr:row>
      <xdr:rowOff>533470</xdr:rowOff>
    </xdr:from>
    <xdr:to>
      <xdr:col>18</xdr:col>
      <xdr:colOff>1336471</xdr:colOff>
      <xdr:row>3</xdr:row>
      <xdr:rowOff>32726</xdr:rowOff>
    </xdr:to>
    <xdr:sp macro="" textlink="">
      <xdr:nvSpPr>
        <xdr:cNvPr id="8" name="TextBox 19">
          <a:hlinkClick xmlns:r="http://schemas.openxmlformats.org/officeDocument/2006/relationships" r:id="rId7"/>
          <a:extLst>
            <a:ext uri="{FF2B5EF4-FFF2-40B4-BE49-F238E27FC236}">
              <a16:creationId xmlns:a16="http://schemas.microsoft.com/office/drawing/2014/main" id="{E680E2BE-2B9E-420D-B5FA-E9A88C4678E2}"/>
            </a:ext>
          </a:extLst>
        </xdr:cNvPr>
        <xdr:cNvSpPr txBox="1"/>
      </xdr:nvSpPr>
      <xdr:spPr>
        <a:xfrm>
          <a:off x="18017013" y="676345"/>
          <a:ext cx="1004208" cy="308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18</xdr:col>
      <xdr:colOff>715079</xdr:colOff>
      <xdr:row>1</xdr:row>
      <xdr:rowOff>9596</xdr:rowOff>
    </xdr:from>
    <xdr:to>
      <xdr:col>18</xdr:col>
      <xdr:colOff>1096079</xdr:colOff>
      <xdr:row>1</xdr:row>
      <xdr:rowOff>492652</xdr:rowOff>
    </xdr:to>
    <xdr:sp macro="" textlink="">
      <xdr:nvSpPr>
        <xdr:cNvPr id="10" name="Isosceles Triangle 23">
          <a:hlinkClick xmlns:r="http://schemas.openxmlformats.org/officeDocument/2006/relationships" r:id="rId7"/>
          <a:extLst>
            <a:ext uri="{FF2B5EF4-FFF2-40B4-BE49-F238E27FC236}">
              <a16:creationId xmlns:a16="http://schemas.microsoft.com/office/drawing/2014/main" id="{89626913-CAD9-44F2-8DFB-D4DE0A5FD74A}"/>
            </a:ext>
          </a:extLst>
        </xdr:cNvPr>
        <xdr:cNvSpPr/>
      </xdr:nvSpPr>
      <xdr:spPr>
        <a:xfrm rot="5400000">
          <a:off x="18316027" y="198890"/>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46089</xdr:rowOff>
    </xdr:from>
    <xdr:to>
      <xdr:col>11</xdr:col>
      <xdr:colOff>431390</xdr:colOff>
      <xdr:row>1</xdr:row>
      <xdr:rowOff>200947</xdr:rowOff>
    </xdr:to>
    <xdr:sp macro="" textlink="">
      <xdr:nvSpPr>
        <xdr:cNvPr id="13" name="Retângulo 12">
          <a:hlinkClick xmlns:r="http://schemas.openxmlformats.org/officeDocument/2006/relationships" r:id="rId8"/>
          <a:extLst>
            <a:ext uri="{FF2B5EF4-FFF2-40B4-BE49-F238E27FC236}">
              <a16:creationId xmlns:a16="http://schemas.microsoft.com/office/drawing/2014/main" id="{D9D561DF-16C0-469A-80BA-9A76EAF27976}"/>
            </a:ext>
          </a:extLst>
        </xdr:cNvPr>
        <xdr:cNvSpPr/>
      </xdr:nvSpPr>
      <xdr:spPr>
        <a:xfrm>
          <a:off x="5423105" y="46089"/>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0E0998AC-94D9-4061-9419-6CF735565F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AAF071D8-2331-4F6F-B468-523E223A594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39634"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364E0BDF-65E9-44D6-BFCF-338C1675B5E4}"/>
            </a:ext>
          </a:extLst>
        </xdr:cNvPr>
        <xdr:cNvSpPr txBox="1"/>
      </xdr:nvSpPr>
      <xdr:spPr>
        <a:xfrm>
          <a:off x="17193108" y="612040"/>
          <a:ext cx="923970" cy="267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hlinkClick xmlns:r="http://schemas.openxmlformats.org/officeDocument/2006/relationships" r:id="rId5"/>
          <a:extLst>
            <a:ext uri="{FF2B5EF4-FFF2-40B4-BE49-F238E27FC236}">
              <a16:creationId xmlns:a16="http://schemas.microsoft.com/office/drawing/2014/main" id="{C91A063D-F8D3-467D-A8DC-C4229A782683}"/>
            </a:ext>
          </a:extLst>
        </xdr:cNvPr>
        <xdr:cNvSpPr txBox="1"/>
      </xdr:nvSpPr>
      <xdr:spPr>
        <a:xfrm>
          <a:off x="17983727" y="625647"/>
          <a:ext cx="1004208" cy="29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hlinkClick xmlns:r="http://schemas.openxmlformats.org/officeDocument/2006/relationships" r:id="rId6"/>
          <a:extLst>
            <a:ext uri="{FF2B5EF4-FFF2-40B4-BE49-F238E27FC236}">
              <a16:creationId xmlns:a16="http://schemas.microsoft.com/office/drawing/2014/main" id="{B5DB9831-DE81-41D5-AD25-156FE01F8A97}"/>
            </a:ext>
          </a:extLst>
        </xdr:cNvPr>
        <xdr:cNvSpPr txBox="1"/>
      </xdr:nvSpPr>
      <xdr:spPr>
        <a:xfrm>
          <a:off x="16422943" y="614761"/>
          <a:ext cx="1004208" cy="29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F657006F-1992-4BFA-9B78-8DB7F5F615CE}"/>
            </a:ext>
          </a:extLst>
        </xdr:cNvPr>
        <xdr:cNvSpPr/>
      </xdr:nvSpPr>
      <xdr:spPr>
        <a:xfrm rot="5400000">
          <a:off x="18331390" y="152801"/>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1" name="Isosceles Triangle 25">
          <a:hlinkClick xmlns:r="http://schemas.openxmlformats.org/officeDocument/2006/relationships" r:id="rId6"/>
          <a:extLst>
            <a:ext uri="{FF2B5EF4-FFF2-40B4-BE49-F238E27FC236}">
              <a16:creationId xmlns:a16="http://schemas.microsoft.com/office/drawing/2014/main" id="{9204DE87-6FA1-4E23-95D1-DE62715C3339}"/>
            </a:ext>
          </a:extLst>
        </xdr:cNvPr>
        <xdr:cNvSpPr/>
      </xdr:nvSpPr>
      <xdr:spPr>
        <a:xfrm rot="16200000">
          <a:off x="16667934" y="186448"/>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76814</xdr:colOff>
      <xdr:row>0</xdr:row>
      <xdr:rowOff>0</xdr:rowOff>
    </xdr:from>
    <xdr:to>
      <xdr:col>11</xdr:col>
      <xdr:colOff>446752</xdr:colOff>
      <xdr:row>1</xdr:row>
      <xdr:rowOff>154858</xdr:rowOff>
    </xdr:to>
    <xdr:sp macro="" textlink="">
      <xdr:nvSpPr>
        <xdr:cNvPr id="16" name="Retângulo 15">
          <a:hlinkClick xmlns:r="http://schemas.openxmlformats.org/officeDocument/2006/relationships" r:id="rId7"/>
          <a:extLst>
            <a:ext uri="{FF2B5EF4-FFF2-40B4-BE49-F238E27FC236}">
              <a16:creationId xmlns:a16="http://schemas.microsoft.com/office/drawing/2014/main" id="{0A165591-F555-48A1-87F4-E907F77177BC}"/>
            </a:ext>
          </a:extLst>
        </xdr:cNvPr>
        <xdr:cNvSpPr/>
      </xdr:nvSpPr>
      <xdr:spPr>
        <a:xfrm>
          <a:off x="5438467" y="0"/>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92177</xdr:colOff>
      <xdr:row>1</xdr:row>
      <xdr:rowOff>368710</xdr:rowOff>
    </xdr:from>
    <xdr:to>
      <xdr:col>10</xdr:col>
      <xdr:colOff>1099981</xdr:colOff>
      <xdr:row>4</xdr:row>
      <xdr:rowOff>51358</xdr:rowOff>
    </xdr:to>
    <xdr:grpSp>
      <xdr:nvGrpSpPr>
        <xdr:cNvPr id="17" name="Group 14">
          <a:hlinkClick xmlns:r="http://schemas.openxmlformats.org/officeDocument/2006/relationships" r:id="rId8"/>
          <a:extLst>
            <a:ext uri="{FF2B5EF4-FFF2-40B4-BE49-F238E27FC236}">
              <a16:creationId xmlns:a16="http://schemas.microsoft.com/office/drawing/2014/main" id="{0FC9B859-E341-4252-A059-7065D68FA64F}"/>
            </a:ext>
          </a:extLst>
        </xdr:cNvPr>
        <xdr:cNvGrpSpPr/>
      </xdr:nvGrpSpPr>
      <xdr:grpSpPr>
        <a:xfrm>
          <a:off x="5521427" y="521110"/>
          <a:ext cx="1007804" cy="939948"/>
          <a:chOff x="1766260" y="812959"/>
          <a:chExt cx="1113414" cy="1033899"/>
        </a:xfrm>
      </xdr:grpSpPr>
      <xdr:sp macro="" textlink="">
        <xdr:nvSpPr>
          <xdr:cNvPr id="18" name="Elipse 4">
            <a:extLst>
              <a:ext uri="{FF2B5EF4-FFF2-40B4-BE49-F238E27FC236}">
                <a16:creationId xmlns:a16="http://schemas.microsoft.com/office/drawing/2014/main" id="{3C5F1305-8382-E9C8-896D-B8832AEF2DF8}"/>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5">
            <a:extLst>
              <a:ext uri="{FF2B5EF4-FFF2-40B4-BE49-F238E27FC236}">
                <a16:creationId xmlns:a16="http://schemas.microsoft.com/office/drawing/2014/main" id="{BEF363E2-7BB0-C13E-9FB6-3C781C85A2F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4CC25D33-A7EB-4FBD-9BAA-13DB12CD7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4E25ECA7-ADAD-4ABF-A19D-FA645DC7A1B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865DF6B3-4DE1-421C-9D01-E49AB0F0B4EA}"/>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hlinkClick xmlns:r="http://schemas.openxmlformats.org/officeDocument/2006/relationships" r:id="rId5"/>
          <a:extLst>
            <a:ext uri="{FF2B5EF4-FFF2-40B4-BE49-F238E27FC236}">
              <a16:creationId xmlns:a16="http://schemas.microsoft.com/office/drawing/2014/main" id="{8607E774-9DEE-4366-90DF-4FA712FE67AB}"/>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hlinkClick xmlns:r="http://schemas.openxmlformats.org/officeDocument/2006/relationships" r:id="rId6"/>
          <a:extLst>
            <a:ext uri="{FF2B5EF4-FFF2-40B4-BE49-F238E27FC236}">
              <a16:creationId xmlns:a16="http://schemas.microsoft.com/office/drawing/2014/main" id="{794AEF06-58ED-413A-B91A-BEEC88FB321D}"/>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64DD9508-A032-496A-B24B-879A2184E548}"/>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1" name="Isosceles Triangle 25">
          <a:hlinkClick xmlns:r="http://schemas.openxmlformats.org/officeDocument/2006/relationships" r:id="rId6"/>
          <a:extLst>
            <a:ext uri="{FF2B5EF4-FFF2-40B4-BE49-F238E27FC236}">
              <a16:creationId xmlns:a16="http://schemas.microsoft.com/office/drawing/2014/main" id="{C0C99688-4088-47AA-90D7-A43674022AEC}"/>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107540</xdr:colOff>
      <xdr:row>0</xdr:row>
      <xdr:rowOff>46089</xdr:rowOff>
    </xdr:from>
    <xdr:to>
      <xdr:col>11</xdr:col>
      <xdr:colOff>477478</xdr:colOff>
      <xdr:row>1</xdr:row>
      <xdr:rowOff>200947</xdr:rowOff>
    </xdr:to>
    <xdr:sp macro="" textlink="">
      <xdr:nvSpPr>
        <xdr:cNvPr id="16" name="Retângulo 15">
          <a:hlinkClick xmlns:r="http://schemas.openxmlformats.org/officeDocument/2006/relationships" r:id="rId7"/>
          <a:extLst>
            <a:ext uri="{FF2B5EF4-FFF2-40B4-BE49-F238E27FC236}">
              <a16:creationId xmlns:a16="http://schemas.microsoft.com/office/drawing/2014/main" id="{4AB36D01-7CD5-41AE-8E27-4FEE8474CEB2}"/>
            </a:ext>
          </a:extLst>
        </xdr:cNvPr>
        <xdr:cNvSpPr/>
      </xdr:nvSpPr>
      <xdr:spPr>
        <a:xfrm>
          <a:off x="5469193" y="46089"/>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30726</xdr:colOff>
      <xdr:row>1</xdr:row>
      <xdr:rowOff>399436</xdr:rowOff>
    </xdr:from>
    <xdr:to>
      <xdr:col>10</xdr:col>
      <xdr:colOff>1038530</xdr:colOff>
      <xdr:row>4</xdr:row>
      <xdr:rowOff>82084</xdr:rowOff>
    </xdr:to>
    <xdr:grpSp>
      <xdr:nvGrpSpPr>
        <xdr:cNvPr id="17" name="Group 14">
          <a:hlinkClick xmlns:r="http://schemas.openxmlformats.org/officeDocument/2006/relationships" r:id="rId8"/>
          <a:extLst>
            <a:ext uri="{FF2B5EF4-FFF2-40B4-BE49-F238E27FC236}">
              <a16:creationId xmlns:a16="http://schemas.microsoft.com/office/drawing/2014/main" id="{667D9A29-56E7-4056-B1A3-BBA0323218DF}"/>
            </a:ext>
          </a:extLst>
        </xdr:cNvPr>
        <xdr:cNvGrpSpPr/>
      </xdr:nvGrpSpPr>
      <xdr:grpSpPr>
        <a:xfrm>
          <a:off x="5459976" y="551836"/>
          <a:ext cx="1007804" cy="939948"/>
          <a:chOff x="1766260" y="812959"/>
          <a:chExt cx="1113414" cy="1033899"/>
        </a:xfrm>
      </xdr:grpSpPr>
      <xdr:sp macro="" textlink="">
        <xdr:nvSpPr>
          <xdr:cNvPr id="18" name="Elipse 4">
            <a:extLst>
              <a:ext uri="{FF2B5EF4-FFF2-40B4-BE49-F238E27FC236}">
                <a16:creationId xmlns:a16="http://schemas.microsoft.com/office/drawing/2014/main" id="{7993383E-5A99-EED9-26CE-F3C2507D3915}"/>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5">
            <a:extLst>
              <a:ext uri="{FF2B5EF4-FFF2-40B4-BE49-F238E27FC236}">
                <a16:creationId xmlns:a16="http://schemas.microsoft.com/office/drawing/2014/main" id="{E8B9FD9C-E6CF-F192-2351-429A9D45863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F0BFEB86-F630-4C5C-B304-9FAE6620DB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04B58A65-7442-4F7D-BBCA-7F57FD1B7A6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9D05342B-99C5-4BDE-8E84-72AA625414E9}"/>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hlinkClick xmlns:r="http://schemas.openxmlformats.org/officeDocument/2006/relationships" r:id="rId5"/>
          <a:extLst>
            <a:ext uri="{FF2B5EF4-FFF2-40B4-BE49-F238E27FC236}">
              <a16:creationId xmlns:a16="http://schemas.microsoft.com/office/drawing/2014/main" id="{088B145B-2BBB-460D-B468-A13FE9AF8102}"/>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hlinkClick xmlns:r="http://schemas.openxmlformats.org/officeDocument/2006/relationships" r:id="rId6"/>
          <a:extLst>
            <a:ext uri="{FF2B5EF4-FFF2-40B4-BE49-F238E27FC236}">
              <a16:creationId xmlns:a16="http://schemas.microsoft.com/office/drawing/2014/main" id="{A7069201-52FE-4C26-B20C-9974C2992933}"/>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8B703A12-CD36-47F7-B0FD-D40C6901DAE8}"/>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1" name="Isosceles Triangle 25">
          <a:hlinkClick xmlns:r="http://schemas.openxmlformats.org/officeDocument/2006/relationships" r:id="rId6"/>
          <a:extLst>
            <a:ext uri="{FF2B5EF4-FFF2-40B4-BE49-F238E27FC236}">
              <a16:creationId xmlns:a16="http://schemas.microsoft.com/office/drawing/2014/main" id="{3733E6D9-0CCB-4B0E-A67B-694A3D512CB7}"/>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76815</xdr:colOff>
      <xdr:row>0</xdr:row>
      <xdr:rowOff>0</xdr:rowOff>
    </xdr:from>
    <xdr:to>
      <xdr:col>11</xdr:col>
      <xdr:colOff>446753</xdr:colOff>
      <xdr:row>1</xdr:row>
      <xdr:rowOff>154858</xdr:rowOff>
    </xdr:to>
    <xdr:sp macro="" textlink="">
      <xdr:nvSpPr>
        <xdr:cNvPr id="16" name="Retângulo 15">
          <a:hlinkClick xmlns:r="http://schemas.openxmlformats.org/officeDocument/2006/relationships" r:id="rId7"/>
          <a:extLst>
            <a:ext uri="{FF2B5EF4-FFF2-40B4-BE49-F238E27FC236}">
              <a16:creationId xmlns:a16="http://schemas.microsoft.com/office/drawing/2014/main" id="{F39CBA31-8D10-43E6-B94A-0619D59C0060}"/>
            </a:ext>
          </a:extLst>
        </xdr:cNvPr>
        <xdr:cNvSpPr/>
      </xdr:nvSpPr>
      <xdr:spPr>
        <a:xfrm>
          <a:off x="5438468" y="0"/>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15363</xdr:colOff>
      <xdr:row>1</xdr:row>
      <xdr:rowOff>368710</xdr:rowOff>
    </xdr:from>
    <xdr:to>
      <xdr:col>10</xdr:col>
      <xdr:colOff>1023167</xdr:colOff>
      <xdr:row>4</xdr:row>
      <xdr:rowOff>51358</xdr:rowOff>
    </xdr:to>
    <xdr:grpSp>
      <xdr:nvGrpSpPr>
        <xdr:cNvPr id="17" name="Group 14">
          <a:hlinkClick xmlns:r="http://schemas.openxmlformats.org/officeDocument/2006/relationships" r:id="rId8"/>
          <a:extLst>
            <a:ext uri="{FF2B5EF4-FFF2-40B4-BE49-F238E27FC236}">
              <a16:creationId xmlns:a16="http://schemas.microsoft.com/office/drawing/2014/main" id="{C4A44286-4F45-440E-A692-46C3200EF6FE}"/>
            </a:ext>
          </a:extLst>
        </xdr:cNvPr>
        <xdr:cNvGrpSpPr/>
      </xdr:nvGrpSpPr>
      <xdr:grpSpPr>
        <a:xfrm>
          <a:off x="5444613" y="521110"/>
          <a:ext cx="1007804" cy="939948"/>
          <a:chOff x="1766260" y="812959"/>
          <a:chExt cx="1113414" cy="1033899"/>
        </a:xfrm>
      </xdr:grpSpPr>
      <xdr:sp macro="" textlink="">
        <xdr:nvSpPr>
          <xdr:cNvPr id="18" name="Elipse 4">
            <a:extLst>
              <a:ext uri="{FF2B5EF4-FFF2-40B4-BE49-F238E27FC236}">
                <a16:creationId xmlns:a16="http://schemas.microsoft.com/office/drawing/2014/main" id="{BB6584F2-B9CA-7FB1-7D25-90D048BF8BF2}"/>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5">
            <a:extLst>
              <a:ext uri="{FF2B5EF4-FFF2-40B4-BE49-F238E27FC236}">
                <a16:creationId xmlns:a16="http://schemas.microsoft.com/office/drawing/2014/main" id="{440CA8F4-5038-DFE0-153F-FCEF53E4B6A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5B71220A-8CC2-4CC4-A8A9-A691FD557B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997FD855-7F36-4257-AA32-6A09B84C0B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60815AD9-CF08-40C8-A2DB-18941222966F}"/>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hlinkClick xmlns:r="http://schemas.openxmlformats.org/officeDocument/2006/relationships" r:id="rId5"/>
          <a:extLst>
            <a:ext uri="{FF2B5EF4-FFF2-40B4-BE49-F238E27FC236}">
              <a16:creationId xmlns:a16="http://schemas.microsoft.com/office/drawing/2014/main" id="{709AF9BA-FD17-43D3-8302-3B4B8F2C6CAA}"/>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hlinkClick xmlns:r="http://schemas.openxmlformats.org/officeDocument/2006/relationships" r:id="rId6"/>
          <a:extLst>
            <a:ext uri="{FF2B5EF4-FFF2-40B4-BE49-F238E27FC236}">
              <a16:creationId xmlns:a16="http://schemas.microsoft.com/office/drawing/2014/main" id="{4C125F37-F6BC-410F-851F-21B72AE56E84}"/>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9D6A85BF-1CD7-49AC-ABC4-7420DDEFCFC2}"/>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1" name="Isosceles Triangle 25">
          <a:hlinkClick xmlns:r="http://schemas.openxmlformats.org/officeDocument/2006/relationships" r:id="rId6"/>
          <a:extLst>
            <a:ext uri="{FF2B5EF4-FFF2-40B4-BE49-F238E27FC236}">
              <a16:creationId xmlns:a16="http://schemas.microsoft.com/office/drawing/2014/main" id="{9DBD2064-341D-4109-A83F-D8D0E441B975}"/>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76815</xdr:colOff>
      <xdr:row>0</xdr:row>
      <xdr:rowOff>0</xdr:rowOff>
    </xdr:from>
    <xdr:to>
      <xdr:col>11</xdr:col>
      <xdr:colOff>446753</xdr:colOff>
      <xdr:row>1</xdr:row>
      <xdr:rowOff>154858</xdr:rowOff>
    </xdr:to>
    <xdr:sp macro="" textlink="">
      <xdr:nvSpPr>
        <xdr:cNvPr id="19" name="Retângulo 18">
          <a:hlinkClick xmlns:r="http://schemas.openxmlformats.org/officeDocument/2006/relationships" r:id="rId7"/>
          <a:extLst>
            <a:ext uri="{FF2B5EF4-FFF2-40B4-BE49-F238E27FC236}">
              <a16:creationId xmlns:a16="http://schemas.microsoft.com/office/drawing/2014/main" id="{F64C64B6-65FC-4029-98BF-62210711937B}"/>
            </a:ext>
          </a:extLst>
        </xdr:cNvPr>
        <xdr:cNvSpPr/>
      </xdr:nvSpPr>
      <xdr:spPr>
        <a:xfrm>
          <a:off x="5438468" y="0"/>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76815</xdr:colOff>
      <xdr:row>1</xdr:row>
      <xdr:rowOff>384073</xdr:rowOff>
    </xdr:from>
    <xdr:to>
      <xdr:col>10</xdr:col>
      <xdr:colOff>1084619</xdr:colOff>
      <xdr:row>4</xdr:row>
      <xdr:rowOff>66721</xdr:rowOff>
    </xdr:to>
    <xdr:grpSp>
      <xdr:nvGrpSpPr>
        <xdr:cNvPr id="13" name="Group 14">
          <a:hlinkClick xmlns:r="http://schemas.openxmlformats.org/officeDocument/2006/relationships" r:id="rId8"/>
          <a:extLst>
            <a:ext uri="{FF2B5EF4-FFF2-40B4-BE49-F238E27FC236}">
              <a16:creationId xmlns:a16="http://schemas.microsoft.com/office/drawing/2014/main" id="{FDE0C3EB-8A4D-473A-A490-D4B10397AB24}"/>
            </a:ext>
          </a:extLst>
        </xdr:cNvPr>
        <xdr:cNvGrpSpPr/>
      </xdr:nvGrpSpPr>
      <xdr:grpSpPr>
        <a:xfrm>
          <a:off x="5506065" y="536473"/>
          <a:ext cx="1007804" cy="939948"/>
          <a:chOff x="1766260" y="812959"/>
          <a:chExt cx="1113414" cy="1033899"/>
        </a:xfrm>
      </xdr:grpSpPr>
      <xdr:sp macro="" textlink="">
        <xdr:nvSpPr>
          <xdr:cNvPr id="14" name="Elipse 4">
            <a:extLst>
              <a:ext uri="{FF2B5EF4-FFF2-40B4-BE49-F238E27FC236}">
                <a16:creationId xmlns:a16="http://schemas.microsoft.com/office/drawing/2014/main" id="{6BBFA9DF-A9C0-9846-191F-C5D02D6E295A}"/>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5">
            <a:extLst>
              <a:ext uri="{FF2B5EF4-FFF2-40B4-BE49-F238E27FC236}">
                <a16:creationId xmlns:a16="http://schemas.microsoft.com/office/drawing/2014/main" id="{4801EC32-AB18-042B-9A82-EA4A0FAFF41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54453306-6D12-45FC-BF46-1F0B905E52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B917C0AB-4C32-4408-A111-FDCAA502A70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1B903299-421F-40C8-9D71-75E9B68C2575}"/>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hlinkClick xmlns:r="http://schemas.openxmlformats.org/officeDocument/2006/relationships" r:id="rId5"/>
          <a:extLst>
            <a:ext uri="{FF2B5EF4-FFF2-40B4-BE49-F238E27FC236}">
              <a16:creationId xmlns:a16="http://schemas.microsoft.com/office/drawing/2014/main" id="{3A00D099-F4FA-4D02-9AFE-E10CCBBEA56D}"/>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hlinkClick xmlns:r="http://schemas.openxmlformats.org/officeDocument/2006/relationships" r:id="rId6"/>
          <a:extLst>
            <a:ext uri="{FF2B5EF4-FFF2-40B4-BE49-F238E27FC236}">
              <a16:creationId xmlns:a16="http://schemas.microsoft.com/office/drawing/2014/main" id="{10C232F5-5D1B-4C6F-94E9-C3203AFF81CA}"/>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8A38F856-3BA9-46DF-A99E-A0495DB6B2B7}"/>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1" name="Isosceles Triangle 25">
          <a:hlinkClick xmlns:r="http://schemas.openxmlformats.org/officeDocument/2006/relationships" r:id="rId6"/>
          <a:extLst>
            <a:ext uri="{FF2B5EF4-FFF2-40B4-BE49-F238E27FC236}">
              <a16:creationId xmlns:a16="http://schemas.microsoft.com/office/drawing/2014/main" id="{9683FA26-34E6-4F32-8ECE-D96D5F7747F9}"/>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15363</xdr:colOff>
      <xdr:row>0</xdr:row>
      <xdr:rowOff>0</xdr:rowOff>
    </xdr:from>
    <xdr:to>
      <xdr:col>11</xdr:col>
      <xdr:colOff>385301</xdr:colOff>
      <xdr:row>1</xdr:row>
      <xdr:rowOff>154858</xdr:rowOff>
    </xdr:to>
    <xdr:sp macro="" textlink="">
      <xdr:nvSpPr>
        <xdr:cNvPr id="16" name="Retângulo 15">
          <a:hlinkClick xmlns:r="http://schemas.openxmlformats.org/officeDocument/2006/relationships" r:id="rId7"/>
          <a:extLst>
            <a:ext uri="{FF2B5EF4-FFF2-40B4-BE49-F238E27FC236}">
              <a16:creationId xmlns:a16="http://schemas.microsoft.com/office/drawing/2014/main" id="{31023461-403A-49FF-AF6E-171D606E81CA}"/>
            </a:ext>
          </a:extLst>
        </xdr:cNvPr>
        <xdr:cNvSpPr/>
      </xdr:nvSpPr>
      <xdr:spPr>
        <a:xfrm>
          <a:off x="5377016" y="0"/>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61452</xdr:colOff>
      <xdr:row>1</xdr:row>
      <xdr:rowOff>399435</xdr:rowOff>
    </xdr:from>
    <xdr:to>
      <xdr:col>10</xdr:col>
      <xdr:colOff>1069256</xdr:colOff>
      <xdr:row>4</xdr:row>
      <xdr:rowOff>82083</xdr:rowOff>
    </xdr:to>
    <xdr:grpSp>
      <xdr:nvGrpSpPr>
        <xdr:cNvPr id="17" name="Group 14">
          <a:hlinkClick xmlns:r="http://schemas.openxmlformats.org/officeDocument/2006/relationships" r:id="rId8"/>
          <a:extLst>
            <a:ext uri="{FF2B5EF4-FFF2-40B4-BE49-F238E27FC236}">
              <a16:creationId xmlns:a16="http://schemas.microsoft.com/office/drawing/2014/main" id="{31EDECC3-984C-4B2D-B920-54D2811C69FA}"/>
            </a:ext>
          </a:extLst>
        </xdr:cNvPr>
        <xdr:cNvGrpSpPr/>
      </xdr:nvGrpSpPr>
      <xdr:grpSpPr>
        <a:xfrm>
          <a:off x="5490702" y="551835"/>
          <a:ext cx="1007804" cy="939948"/>
          <a:chOff x="1766260" y="812959"/>
          <a:chExt cx="1113414" cy="1033899"/>
        </a:xfrm>
      </xdr:grpSpPr>
      <xdr:sp macro="" textlink="">
        <xdr:nvSpPr>
          <xdr:cNvPr id="18" name="Elipse 4">
            <a:extLst>
              <a:ext uri="{FF2B5EF4-FFF2-40B4-BE49-F238E27FC236}">
                <a16:creationId xmlns:a16="http://schemas.microsoft.com/office/drawing/2014/main" id="{3B88826F-5F1E-EDC3-D32E-079440758D39}"/>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5">
            <a:extLst>
              <a:ext uri="{FF2B5EF4-FFF2-40B4-BE49-F238E27FC236}">
                <a16:creationId xmlns:a16="http://schemas.microsoft.com/office/drawing/2014/main" id="{FDCDA75A-6042-024D-256C-5B941CFCAFA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888F7136-D239-4CF4-94DF-64CD49500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371E00DD-242F-46D4-9CD8-F3530E32AA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92B59D50-813C-4F4E-8C22-A9DF475A9296}"/>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hlinkClick xmlns:r="http://schemas.openxmlformats.org/officeDocument/2006/relationships" r:id="rId5"/>
          <a:extLst>
            <a:ext uri="{FF2B5EF4-FFF2-40B4-BE49-F238E27FC236}">
              <a16:creationId xmlns:a16="http://schemas.microsoft.com/office/drawing/2014/main" id="{FB14F1F7-7FFB-4C0C-ACBF-922ED5CAD0E1}"/>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hlinkClick xmlns:r="http://schemas.openxmlformats.org/officeDocument/2006/relationships" r:id="rId6"/>
          <a:extLst>
            <a:ext uri="{FF2B5EF4-FFF2-40B4-BE49-F238E27FC236}">
              <a16:creationId xmlns:a16="http://schemas.microsoft.com/office/drawing/2014/main" id="{951A4547-78E6-46B2-9FAF-4214DC028BDF}"/>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7"/>
          <a:extLst>
            <a:ext uri="{FF2B5EF4-FFF2-40B4-BE49-F238E27FC236}">
              <a16:creationId xmlns:a16="http://schemas.microsoft.com/office/drawing/2014/main" id="{923F8012-5E24-47C6-B17E-4069B7BFF5BB}"/>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1" name="Isosceles Triangle 25">
          <a:hlinkClick xmlns:r="http://schemas.openxmlformats.org/officeDocument/2006/relationships" r:id="rId6"/>
          <a:extLst>
            <a:ext uri="{FF2B5EF4-FFF2-40B4-BE49-F238E27FC236}">
              <a16:creationId xmlns:a16="http://schemas.microsoft.com/office/drawing/2014/main" id="{2A8D0F68-96B7-4D85-B3B1-034EBFAEDDEB}"/>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14134</xdr:colOff>
      <xdr:row>0</xdr:row>
      <xdr:rowOff>75586</xdr:rowOff>
    </xdr:from>
    <xdr:to>
      <xdr:col>11</xdr:col>
      <xdr:colOff>384072</xdr:colOff>
      <xdr:row>1</xdr:row>
      <xdr:rowOff>230444</xdr:rowOff>
    </xdr:to>
    <xdr:sp macro="" textlink="">
      <xdr:nvSpPr>
        <xdr:cNvPr id="13" name="Retângulo 12">
          <a:hlinkClick xmlns:r="http://schemas.openxmlformats.org/officeDocument/2006/relationships" r:id="rId8"/>
          <a:extLst>
            <a:ext uri="{FF2B5EF4-FFF2-40B4-BE49-F238E27FC236}">
              <a16:creationId xmlns:a16="http://schemas.microsoft.com/office/drawing/2014/main" id="{1129BDB7-B9AE-41CE-8AD1-4AA0768633E6}"/>
            </a:ext>
          </a:extLst>
        </xdr:cNvPr>
        <xdr:cNvSpPr/>
      </xdr:nvSpPr>
      <xdr:spPr>
        <a:xfrm>
          <a:off x="5375787" y="75586"/>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30727</xdr:colOff>
      <xdr:row>1</xdr:row>
      <xdr:rowOff>353347</xdr:rowOff>
    </xdr:from>
    <xdr:to>
      <xdr:col>10</xdr:col>
      <xdr:colOff>1044679</xdr:colOff>
      <xdr:row>4</xdr:row>
      <xdr:rowOff>113247</xdr:rowOff>
    </xdr:to>
    <xdr:grpSp>
      <xdr:nvGrpSpPr>
        <xdr:cNvPr id="14" name="Group 14">
          <a:hlinkClick xmlns:r="http://schemas.openxmlformats.org/officeDocument/2006/relationships" r:id="rId9"/>
          <a:extLst>
            <a:ext uri="{FF2B5EF4-FFF2-40B4-BE49-F238E27FC236}">
              <a16:creationId xmlns:a16="http://schemas.microsoft.com/office/drawing/2014/main" id="{90E6C7F3-529B-4DDF-AF40-8AA98F0F41F1}"/>
            </a:ext>
          </a:extLst>
        </xdr:cNvPr>
        <xdr:cNvGrpSpPr/>
      </xdr:nvGrpSpPr>
      <xdr:grpSpPr>
        <a:xfrm>
          <a:off x="5459977" y="505747"/>
          <a:ext cx="1013952" cy="1017200"/>
          <a:chOff x="1766260" y="812959"/>
          <a:chExt cx="1113414" cy="1033899"/>
        </a:xfrm>
      </xdr:grpSpPr>
      <xdr:sp macro="" textlink="">
        <xdr:nvSpPr>
          <xdr:cNvPr id="15" name="Elipse 4">
            <a:extLst>
              <a:ext uri="{FF2B5EF4-FFF2-40B4-BE49-F238E27FC236}">
                <a16:creationId xmlns:a16="http://schemas.microsoft.com/office/drawing/2014/main" id="{57B7AA30-C1AC-1657-E5F1-DC1B7A048970}"/>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6" name="Imagem 5">
            <a:extLst>
              <a:ext uri="{FF2B5EF4-FFF2-40B4-BE49-F238E27FC236}">
                <a16:creationId xmlns:a16="http://schemas.microsoft.com/office/drawing/2014/main" id="{7CF9584C-1395-15FC-8DB4-2D97B4562D0B}"/>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405247</xdr:colOff>
      <xdr:row>0</xdr:row>
      <xdr:rowOff>94384</xdr:rowOff>
    </xdr:from>
    <xdr:to>
      <xdr:col>1</xdr:col>
      <xdr:colOff>557646</xdr:colOff>
      <xdr:row>1</xdr:row>
      <xdr:rowOff>409575</xdr:rowOff>
    </xdr:to>
    <xdr:pic>
      <xdr:nvPicPr>
        <xdr:cNvPr id="9" name="Imagem 9">
          <a:extLst>
            <a:ext uri="{FF2B5EF4-FFF2-40B4-BE49-F238E27FC236}">
              <a16:creationId xmlns:a16="http://schemas.microsoft.com/office/drawing/2014/main" id="{A9E60513-3E08-4ACA-BF3C-5F13127890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5247" y="94384"/>
          <a:ext cx="761999" cy="867641"/>
        </a:xfrm>
        <a:prstGeom prst="rect">
          <a:avLst/>
        </a:prstGeom>
      </xdr:spPr>
    </xdr:pic>
    <xdr:clientData/>
  </xdr:twoCellAnchor>
  <xdr:twoCellAnchor>
    <xdr:from>
      <xdr:col>27</xdr:col>
      <xdr:colOff>28864</xdr:colOff>
      <xdr:row>0</xdr:row>
      <xdr:rowOff>83705</xdr:rowOff>
    </xdr:from>
    <xdr:to>
      <xdr:col>28</xdr:col>
      <xdr:colOff>317500</xdr:colOff>
      <xdr:row>1</xdr:row>
      <xdr:rowOff>395432</xdr:rowOff>
    </xdr:to>
    <xdr:grpSp>
      <xdr:nvGrpSpPr>
        <xdr:cNvPr id="10" name="Agrupar 2">
          <a:extLst>
            <a:ext uri="{FF2B5EF4-FFF2-40B4-BE49-F238E27FC236}">
              <a16:creationId xmlns:a16="http://schemas.microsoft.com/office/drawing/2014/main" id="{14D1E831-3A26-4192-94CE-9EB11458C339}"/>
            </a:ext>
          </a:extLst>
        </xdr:cNvPr>
        <xdr:cNvGrpSpPr/>
      </xdr:nvGrpSpPr>
      <xdr:grpSpPr>
        <a:xfrm>
          <a:off x="18640714" y="83705"/>
          <a:ext cx="898236" cy="864177"/>
          <a:chOff x="21197455" y="95624"/>
          <a:chExt cx="1145098" cy="1203240"/>
        </a:xfrm>
      </xdr:grpSpPr>
      <xdr:pic>
        <xdr:nvPicPr>
          <xdr:cNvPr id="11" name="Gráfico 7" descr="Início com preenchimento sólido">
            <a:hlinkClick xmlns:r="http://schemas.openxmlformats.org/officeDocument/2006/relationships" r:id="rId2"/>
            <a:extLst>
              <a:ext uri="{FF2B5EF4-FFF2-40B4-BE49-F238E27FC236}">
                <a16:creationId xmlns:a16="http://schemas.microsoft.com/office/drawing/2014/main" id="{5A779A7A-0268-4224-6349-3479EEABF45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332579" y="95624"/>
            <a:ext cx="900752" cy="943467"/>
          </a:xfrm>
          <a:prstGeom prst="rect">
            <a:avLst/>
          </a:prstGeom>
        </xdr:spPr>
      </xdr:pic>
      <xdr:sp macro="" textlink="">
        <xdr:nvSpPr>
          <xdr:cNvPr id="12" name="TextBox 18">
            <a:extLst>
              <a:ext uri="{FF2B5EF4-FFF2-40B4-BE49-F238E27FC236}">
                <a16:creationId xmlns:a16="http://schemas.microsoft.com/office/drawing/2014/main" id="{44385017-F427-D485-CEBC-559DBDCC3C8B}"/>
              </a:ext>
            </a:extLst>
          </xdr:cNvPr>
          <xdr:cNvSpPr txBox="1"/>
        </xdr:nvSpPr>
        <xdr:spPr>
          <a:xfrm>
            <a:off x="21197455" y="923546"/>
            <a:ext cx="1145098" cy="37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solidFill>
                  <a:schemeClr val="tx1">
                    <a:lumMod val="75000"/>
                    <a:lumOff val="25000"/>
                  </a:schemeClr>
                </a:solidFill>
                <a:latin typeface="Century Gothic" panose="020B0502020202020204" pitchFamily="34" charset="0"/>
              </a:rPr>
              <a:t>Inicio</a:t>
            </a:r>
          </a:p>
        </xdr:txBody>
      </xdr:sp>
    </xdr:grpSp>
    <xdr:clientData/>
  </xdr:twoCellAnchor>
  <xdr:twoCellAnchor>
    <xdr:from>
      <xdr:col>2</xdr:col>
      <xdr:colOff>2714625</xdr:colOff>
      <xdr:row>0</xdr:row>
      <xdr:rowOff>238125</xdr:rowOff>
    </xdr:from>
    <xdr:to>
      <xdr:col>4</xdr:col>
      <xdr:colOff>492126</xdr:colOff>
      <xdr:row>3</xdr:row>
      <xdr:rowOff>27420</xdr:rowOff>
    </xdr:to>
    <xdr:grpSp>
      <xdr:nvGrpSpPr>
        <xdr:cNvPr id="20" name="Agrupar 19">
          <a:extLst>
            <a:ext uri="{FF2B5EF4-FFF2-40B4-BE49-F238E27FC236}">
              <a16:creationId xmlns:a16="http://schemas.microsoft.com/office/drawing/2014/main" id="{4428AD5E-FBAE-F78C-DC24-AFB1DBB16CFA}"/>
            </a:ext>
          </a:extLst>
        </xdr:cNvPr>
        <xdr:cNvGrpSpPr/>
      </xdr:nvGrpSpPr>
      <xdr:grpSpPr>
        <a:xfrm>
          <a:off x="3933825" y="238125"/>
          <a:ext cx="1149351" cy="1084695"/>
          <a:chOff x="12763500" y="2460625"/>
          <a:chExt cx="1143001" cy="1091045"/>
        </a:xfrm>
      </xdr:grpSpPr>
      <xdr:sp macro="" textlink="">
        <xdr:nvSpPr>
          <xdr:cNvPr id="18" name="Elipse 17">
            <a:extLst>
              <a:ext uri="{FF2B5EF4-FFF2-40B4-BE49-F238E27FC236}">
                <a16:creationId xmlns:a16="http://schemas.microsoft.com/office/drawing/2014/main" id="{A17478C1-B444-7556-67D4-8F85CA3E1858}"/>
              </a:ext>
            </a:extLst>
          </xdr:cNvPr>
          <xdr:cNvSpPr/>
        </xdr:nvSpPr>
        <xdr:spPr>
          <a:xfrm>
            <a:off x="12763500" y="2460625"/>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6" name="Gráfico 15" descr="Gráfico de barras estrutura de tópicos">
            <a:extLst>
              <a:ext uri="{FF2B5EF4-FFF2-40B4-BE49-F238E27FC236}">
                <a16:creationId xmlns:a16="http://schemas.microsoft.com/office/drawing/2014/main" id="{C1153173-4F90-ADF5-60A8-7BBD105BAFD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842875" y="2555875"/>
            <a:ext cx="914400" cy="914400"/>
          </a:xfrm>
          <a:prstGeom prst="rect">
            <a:avLst/>
          </a:prstGeom>
        </xdr:spPr>
      </xdr:pic>
    </xdr:grpSp>
    <xdr:clientData/>
  </xdr:twoCellAnchor>
  <xdr:twoCellAnchor>
    <xdr:from>
      <xdr:col>1</xdr:col>
      <xdr:colOff>587375</xdr:colOff>
      <xdr:row>4</xdr:row>
      <xdr:rowOff>15875</xdr:rowOff>
    </xdr:from>
    <xdr:to>
      <xdr:col>4</xdr:col>
      <xdr:colOff>238125</xdr:colOff>
      <xdr:row>30</xdr:row>
      <xdr:rowOff>15875</xdr:rowOff>
    </xdr:to>
    <xdr:graphicFrame macro="">
      <xdr:nvGraphicFramePr>
        <xdr:cNvPr id="19" name="Gráfico 18">
          <a:extLst>
            <a:ext uri="{FF2B5EF4-FFF2-40B4-BE49-F238E27FC236}">
              <a16:creationId xmlns:a16="http://schemas.microsoft.com/office/drawing/2014/main" id="{32EA608F-3C94-4CF9-9623-9B87643E8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559594</xdr:colOff>
      <xdr:row>4</xdr:row>
      <xdr:rowOff>31751</xdr:rowOff>
    </xdr:from>
    <xdr:to>
      <xdr:col>19</xdr:col>
      <xdr:colOff>15875</xdr:colOff>
      <xdr:row>30</xdr:row>
      <xdr:rowOff>15875</xdr:rowOff>
    </xdr:to>
    <xdr:graphicFrame macro="">
      <xdr:nvGraphicFramePr>
        <xdr:cNvPr id="21" name="Gráfico 20">
          <a:extLst>
            <a:ext uri="{FF2B5EF4-FFF2-40B4-BE49-F238E27FC236}">
              <a16:creationId xmlns:a16="http://schemas.microsoft.com/office/drawing/2014/main" id="{8F88A50E-71B0-46C3-AA3C-03F31B97F4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158750</xdr:colOff>
      <xdr:row>3</xdr:row>
      <xdr:rowOff>127000</xdr:rowOff>
    </xdr:from>
    <xdr:to>
      <xdr:col>28</xdr:col>
      <xdr:colOff>565944</xdr:colOff>
      <xdr:row>30</xdr:row>
      <xdr:rowOff>31749</xdr:rowOff>
    </xdr:to>
    <xdr:graphicFrame macro="">
      <xdr:nvGraphicFramePr>
        <xdr:cNvPr id="22" name="Gráfico 21">
          <a:extLst>
            <a:ext uri="{FF2B5EF4-FFF2-40B4-BE49-F238E27FC236}">
              <a16:creationId xmlns:a16="http://schemas.microsoft.com/office/drawing/2014/main" id="{9DB24A0F-66D4-4F2E-B498-5773ABC7B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23</xdr:col>
      <xdr:colOff>508000</xdr:colOff>
      <xdr:row>0</xdr:row>
      <xdr:rowOff>269875</xdr:rowOff>
    </xdr:from>
    <xdr:to>
      <xdr:col>26</xdr:col>
      <xdr:colOff>461529</xdr:colOff>
      <xdr:row>1</xdr:row>
      <xdr:rowOff>373785</xdr:rowOff>
    </xdr:to>
    <xdr:sp macro="" textlink="">
      <xdr:nvSpPr>
        <xdr:cNvPr id="13" name="Retângulo 12">
          <a:hlinkClick xmlns:r="http://schemas.openxmlformats.org/officeDocument/2006/relationships" r:id="rId10"/>
          <a:extLst>
            <a:ext uri="{FF2B5EF4-FFF2-40B4-BE49-F238E27FC236}">
              <a16:creationId xmlns:a16="http://schemas.microsoft.com/office/drawing/2014/main" id="{EDCB78B9-C965-4A3E-814C-49200A4EC086}"/>
            </a:ext>
          </a:extLst>
        </xdr:cNvPr>
        <xdr:cNvSpPr/>
      </xdr:nvSpPr>
      <xdr:spPr>
        <a:xfrm>
          <a:off x="16541750" y="269875"/>
          <a:ext cx="1763279" cy="65953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RESUMO</a:t>
          </a:r>
          <a:r>
            <a:rPr lang="pt-BR" sz="1800" baseline="0">
              <a:solidFill>
                <a:sysClr val="windowText" lastClr="000000"/>
              </a:solidFill>
              <a:latin typeface="Century Gothic" panose="020B0502020202020204" pitchFamily="34" charset="0"/>
            </a:rPr>
            <a:t> DOS ITENS</a:t>
          </a:r>
          <a:endParaRPr lang="pt-BR" sz="1800">
            <a:solidFill>
              <a:sysClr val="windowText" lastClr="000000"/>
            </a:solidFill>
            <a:latin typeface="Century Gothic" panose="020B0502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9FCBAA51-2BDB-43BE-BD3E-D8CF80F0D2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B1D8E961-D9B3-4455-B1CE-045280165E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FDA68E6C-4DFD-43FC-98CB-30733B17A161}"/>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hlinkClick xmlns:r="http://schemas.openxmlformats.org/officeDocument/2006/relationships" r:id="rId5"/>
          <a:extLst>
            <a:ext uri="{FF2B5EF4-FFF2-40B4-BE49-F238E27FC236}">
              <a16:creationId xmlns:a16="http://schemas.microsoft.com/office/drawing/2014/main" id="{8D8F22B2-A986-4891-A4F5-7AB81C0DFE27}"/>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hlinkClick xmlns:r="http://schemas.openxmlformats.org/officeDocument/2006/relationships" r:id="rId6"/>
          <a:extLst>
            <a:ext uri="{FF2B5EF4-FFF2-40B4-BE49-F238E27FC236}">
              <a16:creationId xmlns:a16="http://schemas.microsoft.com/office/drawing/2014/main" id="{851D159A-0625-4DA8-A52C-471B9331386E}"/>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16E126B8-00CB-4CE4-BF8A-46A8A32F6866}"/>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1" name="Isosceles Triangle 25">
          <a:hlinkClick xmlns:r="http://schemas.openxmlformats.org/officeDocument/2006/relationships" r:id="rId6"/>
          <a:extLst>
            <a:ext uri="{FF2B5EF4-FFF2-40B4-BE49-F238E27FC236}">
              <a16:creationId xmlns:a16="http://schemas.microsoft.com/office/drawing/2014/main" id="{CF47FBB7-15EF-4A13-A077-7844B87A3F7B}"/>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61452</xdr:rowOff>
    </xdr:from>
    <xdr:to>
      <xdr:col>11</xdr:col>
      <xdr:colOff>431390</xdr:colOff>
      <xdr:row>1</xdr:row>
      <xdr:rowOff>216310</xdr:rowOff>
    </xdr:to>
    <xdr:sp macro="" textlink="">
      <xdr:nvSpPr>
        <xdr:cNvPr id="13" name="Retângulo 12">
          <a:hlinkClick xmlns:r="http://schemas.openxmlformats.org/officeDocument/2006/relationships" r:id="rId7"/>
          <a:extLst>
            <a:ext uri="{FF2B5EF4-FFF2-40B4-BE49-F238E27FC236}">
              <a16:creationId xmlns:a16="http://schemas.microsoft.com/office/drawing/2014/main" id="{932EC367-88BB-455D-8AFF-4B82634A152F}"/>
            </a:ext>
          </a:extLst>
        </xdr:cNvPr>
        <xdr:cNvSpPr/>
      </xdr:nvSpPr>
      <xdr:spPr>
        <a:xfrm>
          <a:off x="5423105" y="61452"/>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76815</xdr:colOff>
      <xdr:row>1</xdr:row>
      <xdr:rowOff>399435</xdr:rowOff>
    </xdr:from>
    <xdr:to>
      <xdr:col>10</xdr:col>
      <xdr:colOff>1084619</xdr:colOff>
      <xdr:row>4</xdr:row>
      <xdr:rowOff>82083</xdr:rowOff>
    </xdr:to>
    <xdr:grpSp>
      <xdr:nvGrpSpPr>
        <xdr:cNvPr id="17" name="Group 14">
          <a:hlinkClick xmlns:r="http://schemas.openxmlformats.org/officeDocument/2006/relationships" r:id="rId8"/>
          <a:extLst>
            <a:ext uri="{FF2B5EF4-FFF2-40B4-BE49-F238E27FC236}">
              <a16:creationId xmlns:a16="http://schemas.microsoft.com/office/drawing/2014/main" id="{4445BB41-BFE6-489E-BA53-70E1966556A9}"/>
            </a:ext>
          </a:extLst>
        </xdr:cNvPr>
        <xdr:cNvGrpSpPr/>
      </xdr:nvGrpSpPr>
      <xdr:grpSpPr>
        <a:xfrm>
          <a:off x="5506065" y="551835"/>
          <a:ext cx="1007804" cy="939948"/>
          <a:chOff x="1766260" y="812959"/>
          <a:chExt cx="1113414" cy="1033899"/>
        </a:xfrm>
      </xdr:grpSpPr>
      <xdr:sp macro="" textlink="">
        <xdr:nvSpPr>
          <xdr:cNvPr id="18" name="Elipse 4">
            <a:extLst>
              <a:ext uri="{FF2B5EF4-FFF2-40B4-BE49-F238E27FC236}">
                <a16:creationId xmlns:a16="http://schemas.microsoft.com/office/drawing/2014/main" id="{99D6097C-93D2-F70C-9863-6F540C89EC7C}"/>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5">
            <a:extLst>
              <a:ext uri="{FF2B5EF4-FFF2-40B4-BE49-F238E27FC236}">
                <a16:creationId xmlns:a16="http://schemas.microsoft.com/office/drawing/2014/main" id="{10E0E7D8-4D31-531E-335D-11D2D8D1B6E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28CAC240-1381-425E-A370-4D0BBB0FBE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2A98D3E6-515B-4A47-93AE-2484DA9E2F2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67C9C651-298C-4317-9781-8B382744C532}"/>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hlinkClick xmlns:r="http://schemas.openxmlformats.org/officeDocument/2006/relationships" r:id="rId5"/>
          <a:extLst>
            <a:ext uri="{FF2B5EF4-FFF2-40B4-BE49-F238E27FC236}">
              <a16:creationId xmlns:a16="http://schemas.microsoft.com/office/drawing/2014/main" id="{1962D07C-244C-4987-B491-11C8650A2A1C}"/>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hlinkClick xmlns:r="http://schemas.openxmlformats.org/officeDocument/2006/relationships" r:id="rId6"/>
          <a:extLst>
            <a:ext uri="{FF2B5EF4-FFF2-40B4-BE49-F238E27FC236}">
              <a16:creationId xmlns:a16="http://schemas.microsoft.com/office/drawing/2014/main" id="{22D2D166-0B55-4415-8CD4-1DD33B2B2D62}"/>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7F459810-3E26-4D81-9616-C8CD25D2AAE8}"/>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7CA0B863-99C5-4923-ACE6-B942D2A32B40}"/>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61452</xdr:rowOff>
    </xdr:from>
    <xdr:to>
      <xdr:col>11</xdr:col>
      <xdr:colOff>431390</xdr:colOff>
      <xdr:row>1</xdr:row>
      <xdr:rowOff>216310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A5D8F9D9-4D3D-4453-B030-8523CAC9BF49}"/>
            </a:ext>
          </a:extLst>
        </xdr:cNvPr>
        <xdr:cNvSpPr/>
      </xdr:nvSpPr>
      <xdr:spPr>
        <a:xfrm>
          <a:off x="5424027" y="61452"/>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76814</xdr:colOff>
      <xdr:row>1</xdr:row>
      <xdr:rowOff>384073</xdr:rowOff>
    </xdr:from>
    <xdr:to>
      <xdr:col>10</xdr:col>
      <xdr:colOff>1084618</xdr:colOff>
      <xdr:row>4</xdr:row>
      <xdr:rowOff>66721</xdr:rowOff>
    </xdr:to>
    <xdr:grpSp>
      <xdr:nvGrpSpPr>
        <xdr:cNvPr id="13" name="Group 14">
          <a:hlinkClick xmlns:r="http://schemas.openxmlformats.org/officeDocument/2006/relationships" r:id="rId8"/>
          <a:extLst>
            <a:ext uri="{FF2B5EF4-FFF2-40B4-BE49-F238E27FC236}">
              <a16:creationId xmlns:a16="http://schemas.microsoft.com/office/drawing/2014/main" id="{5B925042-BB87-4DEB-B1F4-45CC5DAF944B}"/>
            </a:ext>
          </a:extLst>
        </xdr:cNvPr>
        <xdr:cNvGrpSpPr/>
      </xdr:nvGrpSpPr>
      <xdr:grpSpPr>
        <a:xfrm>
          <a:off x="5506064" y="536473"/>
          <a:ext cx="1007804" cy="939948"/>
          <a:chOff x="1766260" y="812959"/>
          <a:chExt cx="1113414" cy="1033899"/>
        </a:xfrm>
      </xdr:grpSpPr>
      <xdr:sp macro="" textlink="">
        <xdr:nvSpPr>
          <xdr:cNvPr id="14" name="Elipse 4">
            <a:extLst>
              <a:ext uri="{FF2B5EF4-FFF2-40B4-BE49-F238E27FC236}">
                <a16:creationId xmlns:a16="http://schemas.microsoft.com/office/drawing/2014/main" id="{D809D736-356C-E19E-DBEC-B8FDA322B4E6}"/>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5">
            <a:extLst>
              <a:ext uri="{FF2B5EF4-FFF2-40B4-BE49-F238E27FC236}">
                <a16:creationId xmlns:a16="http://schemas.microsoft.com/office/drawing/2014/main" id="{58442ABC-7877-9548-15F4-CFD32EF861A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twoCellAnchor editAs="oneCell">
    <xdr:from>
      <xdr:col>10</xdr:col>
      <xdr:colOff>63500</xdr:colOff>
      <xdr:row>26</xdr:row>
      <xdr:rowOff>15875</xdr:rowOff>
    </xdr:from>
    <xdr:to>
      <xdr:col>11</xdr:col>
      <xdr:colOff>603250</xdr:colOff>
      <xdr:row>31</xdr:row>
      <xdr:rowOff>171987</xdr:rowOff>
    </xdr:to>
    <xdr:pic>
      <xdr:nvPicPr>
        <xdr:cNvPr id="10" name="Imagem 9">
          <a:extLst>
            <a:ext uri="{FF2B5EF4-FFF2-40B4-BE49-F238E27FC236}">
              <a16:creationId xmlns:a16="http://schemas.microsoft.com/office/drawing/2014/main" id="{9F233240-4E2A-42FF-89F0-85F6B04C87C8}"/>
            </a:ext>
          </a:extLst>
        </xdr:cNvPr>
        <xdr:cNvPicPr>
          <a:picLocks noChangeAspect="1"/>
        </xdr:cNvPicPr>
      </xdr:nvPicPr>
      <xdr:blipFill>
        <a:blip xmlns:r="http://schemas.openxmlformats.org/officeDocument/2006/relationships" r:embed="rId10"/>
        <a:stretch>
          <a:fillRect/>
        </a:stretch>
      </xdr:blipFill>
      <xdr:spPr>
        <a:xfrm>
          <a:off x="5429250" y="12890500"/>
          <a:ext cx="2079625" cy="126736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48BA26AF-F33C-4E6B-8029-10BFB1ECB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6552C878-FE10-4C43-B4BC-1503D134731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5DB1D1A0-1425-492E-BCE0-208CFAE3B02E}"/>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hlinkClick xmlns:r="http://schemas.openxmlformats.org/officeDocument/2006/relationships" r:id="rId5"/>
          <a:extLst>
            <a:ext uri="{FF2B5EF4-FFF2-40B4-BE49-F238E27FC236}">
              <a16:creationId xmlns:a16="http://schemas.microsoft.com/office/drawing/2014/main" id="{E9F2BE82-9AB3-419C-8A21-233B909062AD}"/>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hlinkClick xmlns:r="http://schemas.openxmlformats.org/officeDocument/2006/relationships" r:id="rId6"/>
          <a:extLst>
            <a:ext uri="{FF2B5EF4-FFF2-40B4-BE49-F238E27FC236}">
              <a16:creationId xmlns:a16="http://schemas.microsoft.com/office/drawing/2014/main" id="{EA84A70D-97E8-49B4-A5A6-0270B0E07540}"/>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129590F7-AB45-4A9E-8FA6-9A324D05CB45}"/>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15635FD4-2FA1-43B9-BC29-B3F2716B86C5}"/>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61452</xdr:rowOff>
    </xdr:from>
    <xdr:to>
      <xdr:col>11</xdr:col>
      <xdr:colOff>431390</xdr:colOff>
      <xdr:row>1</xdr:row>
      <xdr:rowOff>216310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49734004-4777-4631-804C-2D4077BD3EAB}"/>
            </a:ext>
          </a:extLst>
        </xdr:cNvPr>
        <xdr:cNvSpPr/>
      </xdr:nvSpPr>
      <xdr:spPr>
        <a:xfrm>
          <a:off x="5424027" y="61452"/>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107540</xdr:colOff>
      <xdr:row>1</xdr:row>
      <xdr:rowOff>384073</xdr:rowOff>
    </xdr:from>
    <xdr:to>
      <xdr:col>10</xdr:col>
      <xdr:colOff>1115344</xdr:colOff>
      <xdr:row>4</xdr:row>
      <xdr:rowOff>66721</xdr:rowOff>
    </xdr:to>
    <xdr:grpSp>
      <xdr:nvGrpSpPr>
        <xdr:cNvPr id="13" name="Group 14">
          <a:hlinkClick xmlns:r="http://schemas.openxmlformats.org/officeDocument/2006/relationships" r:id="rId8"/>
          <a:extLst>
            <a:ext uri="{FF2B5EF4-FFF2-40B4-BE49-F238E27FC236}">
              <a16:creationId xmlns:a16="http://schemas.microsoft.com/office/drawing/2014/main" id="{AFA2D15F-301D-42D6-998B-1B54FEAECEB9}"/>
            </a:ext>
          </a:extLst>
        </xdr:cNvPr>
        <xdr:cNvGrpSpPr/>
      </xdr:nvGrpSpPr>
      <xdr:grpSpPr>
        <a:xfrm>
          <a:off x="5536790" y="536473"/>
          <a:ext cx="1007804" cy="939948"/>
          <a:chOff x="1766260" y="812959"/>
          <a:chExt cx="1113414" cy="1033899"/>
        </a:xfrm>
      </xdr:grpSpPr>
      <xdr:sp macro="" textlink="">
        <xdr:nvSpPr>
          <xdr:cNvPr id="14" name="Elipse 4">
            <a:extLst>
              <a:ext uri="{FF2B5EF4-FFF2-40B4-BE49-F238E27FC236}">
                <a16:creationId xmlns:a16="http://schemas.microsoft.com/office/drawing/2014/main" id="{5BBBC137-FB85-771A-E941-DBC59C5DB2DD}"/>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5">
            <a:extLst>
              <a:ext uri="{FF2B5EF4-FFF2-40B4-BE49-F238E27FC236}">
                <a16:creationId xmlns:a16="http://schemas.microsoft.com/office/drawing/2014/main" id="{36B3013E-016D-3C90-9102-7A9CAB5215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29CAEE97-D8E8-42A3-81F9-CB3EE95B14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F1AF0FD6-8902-42F3-A020-9214267EC21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6FED7ACE-8CE9-4DA3-ABDD-340E688480B1}"/>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hlinkClick xmlns:r="http://schemas.openxmlformats.org/officeDocument/2006/relationships" r:id="rId5"/>
          <a:extLst>
            <a:ext uri="{FF2B5EF4-FFF2-40B4-BE49-F238E27FC236}">
              <a16:creationId xmlns:a16="http://schemas.microsoft.com/office/drawing/2014/main" id="{85218152-9A9D-4835-81A8-62BBC3D8D838}"/>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hlinkClick xmlns:r="http://schemas.openxmlformats.org/officeDocument/2006/relationships" r:id="rId6"/>
          <a:extLst>
            <a:ext uri="{FF2B5EF4-FFF2-40B4-BE49-F238E27FC236}">
              <a16:creationId xmlns:a16="http://schemas.microsoft.com/office/drawing/2014/main" id="{2F7BD50E-E8B6-4CE0-84F8-D0ADEC03CD5C}"/>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3C0F2EF0-5186-4C1F-89CC-6525D8117F65}"/>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26C2C0EF-65A7-4919-AFFF-F942E0675B08}"/>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61452</xdr:rowOff>
    </xdr:from>
    <xdr:to>
      <xdr:col>11</xdr:col>
      <xdr:colOff>431390</xdr:colOff>
      <xdr:row>1</xdr:row>
      <xdr:rowOff>216310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63E1B0F5-1686-44FF-A643-27FEF6CEE961}"/>
            </a:ext>
          </a:extLst>
        </xdr:cNvPr>
        <xdr:cNvSpPr/>
      </xdr:nvSpPr>
      <xdr:spPr>
        <a:xfrm>
          <a:off x="5424027" y="61452"/>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107540</xdr:colOff>
      <xdr:row>1</xdr:row>
      <xdr:rowOff>445525</xdr:rowOff>
    </xdr:from>
    <xdr:to>
      <xdr:col>10</xdr:col>
      <xdr:colOff>1115344</xdr:colOff>
      <xdr:row>4</xdr:row>
      <xdr:rowOff>128173</xdr:rowOff>
    </xdr:to>
    <xdr:grpSp>
      <xdr:nvGrpSpPr>
        <xdr:cNvPr id="13" name="Group 14">
          <a:hlinkClick xmlns:r="http://schemas.openxmlformats.org/officeDocument/2006/relationships" r:id="rId8"/>
          <a:extLst>
            <a:ext uri="{FF2B5EF4-FFF2-40B4-BE49-F238E27FC236}">
              <a16:creationId xmlns:a16="http://schemas.microsoft.com/office/drawing/2014/main" id="{AA588166-702D-4B5D-876B-5EE427E99467}"/>
            </a:ext>
          </a:extLst>
        </xdr:cNvPr>
        <xdr:cNvGrpSpPr/>
      </xdr:nvGrpSpPr>
      <xdr:grpSpPr>
        <a:xfrm>
          <a:off x="5536790" y="597925"/>
          <a:ext cx="1007804" cy="939948"/>
          <a:chOff x="1766260" y="812959"/>
          <a:chExt cx="1113414" cy="1033899"/>
        </a:xfrm>
      </xdr:grpSpPr>
      <xdr:sp macro="" textlink="">
        <xdr:nvSpPr>
          <xdr:cNvPr id="14" name="Elipse 4">
            <a:extLst>
              <a:ext uri="{FF2B5EF4-FFF2-40B4-BE49-F238E27FC236}">
                <a16:creationId xmlns:a16="http://schemas.microsoft.com/office/drawing/2014/main" id="{47B3F1B6-7035-226D-E66B-BF1E942CC02D}"/>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5">
            <a:extLst>
              <a:ext uri="{FF2B5EF4-FFF2-40B4-BE49-F238E27FC236}">
                <a16:creationId xmlns:a16="http://schemas.microsoft.com/office/drawing/2014/main" id="{BE03EC90-F971-CC0E-37F0-03F9478E3B3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0D992086-C871-44AA-8043-87F0A98F0A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8CE71FA2-8731-4640-AF28-84287A5B99B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B2DEDE0F-7F18-4091-A73F-4AD5E75B5936}"/>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A9F582A9-A248-47E2-93AF-81CB39F3A00F}"/>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hlinkClick xmlns:r="http://schemas.openxmlformats.org/officeDocument/2006/relationships" r:id="rId5"/>
          <a:extLst>
            <a:ext uri="{FF2B5EF4-FFF2-40B4-BE49-F238E27FC236}">
              <a16:creationId xmlns:a16="http://schemas.microsoft.com/office/drawing/2014/main" id="{766C307C-ADCF-46B5-9F08-AC6CA1AE163B}"/>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6"/>
          <a:extLst>
            <a:ext uri="{FF2B5EF4-FFF2-40B4-BE49-F238E27FC236}">
              <a16:creationId xmlns:a16="http://schemas.microsoft.com/office/drawing/2014/main" id="{C4FC44EB-DECC-4E17-B907-70D5ED18BBD5}"/>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5"/>
          <a:extLst>
            <a:ext uri="{FF2B5EF4-FFF2-40B4-BE49-F238E27FC236}">
              <a16:creationId xmlns:a16="http://schemas.microsoft.com/office/drawing/2014/main" id="{3D764086-E7ED-40B0-BEED-EB5E8A313013}"/>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61452</xdr:rowOff>
    </xdr:from>
    <xdr:to>
      <xdr:col>11</xdr:col>
      <xdr:colOff>431390</xdr:colOff>
      <xdr:row>1</xdr:row>
      <xdr:rowOff>216310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570045BC-E449-4928-A5D1-5ACFF408D663}"/>
            </a:ext>
          </a:extLst>
        </xdr:cNvPr>
        <xdr:cNvSpPr/>
      </xdr:nvSpPr>
      <xdr:spPr>
        <a:xfrm>
          <a:off x="5424027" y="61452"/>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76814</xdr:colOff>
      <xdr:row>1</xdr:row>
      <xdr:rowOff>368710</xdr:rowOff>
    </xdr:from>
    <xdr:to>
      <xdr:col>10</xdr:col>
      <xdr:colOff>1084618</xdr:colOff>
      <xdr:row>4</xdr:row>
      <xdr:rowOff>51358</xdr:rowOff>
    </xdr:to>
    <xdr:grpSp>
      <xdr:nvGrpSpPr>
        <xdr:cNvPr id="13" name="Group 14">
          <a:hlinkClick xmlns:r="http://schemas.openxmlformats.org/officeDocument/2006/relationships" r:id="rId8"/>
          <a:extLst>
            <a:ext uri="{FF2B5EF4-FFF2-40B4-BE49-F238E27FC236}">
              <a16:creationId xmlns:a16="http://schemas.microsoft.com/office/drawing/2014/main" id="{FA5ED558-5527-469A-9F9E-941AF882A97B}"/>
            </a:ext>
          </a:extLst>
        </xdr:cNvPr>
        <xdr:cNvGrpSpPr/>
      </xdr:nvGrpSpPr>
      <xdr:grpSpPr>
        <a:xfrm>
          <a:off x="5506064" y="521110"/>
          <a:ext cx="1007804" cy="939948"/>
          <a:chOff x="1766260" y="812959"/>
          <a:chExt cx="1113414" cy="1033899"/>
        </a:xfrm>
      </xdr:grpSpPr>
      <xdr:sp macro="" textlink="">
        <xdr:nvSpPr>
          <xdr:cNvPr id="14" name="Elipse 4">
            <a:extLst>
              <a:ext uri="{FF2B5EF4-FFF2-40B4-BE49-F238E27FC236}">
                <a16:creationId xmlns:a16="http://schemas.microsoft.com/office/drawing/2014/main" id="{5CB27897-FF31-167F-7A1E-319230CB5821}"/>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5">
            <a:extLst>
              <a:ext uri="{FF2B5EF4-FFF2-40B4-BE49-F238E27FC236}">
                <a16:creationId xmlns:a16="http://schemas.microsoft.com/office/drawing/2014/main" id="{3D30B1E5-DF2B-3BB0-F75B-B68AF5FB402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DBAA02F3-67E6-47EB-95BB-E87C5F03BB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5D933EA8-D85F-440B-B9D6-DACEA88FCDE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E97B9878-1AD8-430E-BC20-E2E3E7579025}"/>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34D58132-1501-4C46-B68B-E983E10376DF}"/>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DC0167B4-6BFF-43FC-8212-C4EE3348414B}"/>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C6F5D2A3-3DF3-44ED-BD24-287BC7E52F81}"/>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4AC6E325-F400-4C4E-B845-504D1FF019A9}"/>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61452</xdr:rowOff>
    </xdr:from>
    <xdr:to>
      <xdr:col>11</xdr:col>
      <xdr:colOff>431390</xdr:colOff>
      <xdr:row>1</xdr:row>
      <xdr:rowOff>216310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164CF44F-D772-4E95-B012-D029955137DE}"/>
            </a:ext>
          </a:extLst>
        </xdr:cNvPr>
        <xdr:cNvSpPr/>
      </xdr:nvSpPr>
      <xdr:spPr>
        <a:xfrm>
          <a:off x="5424027" y="61452"/>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153629</xdr:colOff>
      <xdr:row>1</xdr:row>
      <xdr:rowOff>384073</xdr:rowOff>
    </xdr:from>
    <xdr:to>
      <xdr:col>10</xdr:col>
      <xdr:colOff>1161433</xdr:colOff>
      <xdr:row>4</xdr:row>
      <xdr:rowOff>66721</xdr:rowOff>
    </xdr:to>
    <xdr:grpSp>
      <xdr:nvGrpSpPr>
        <xdr:cNvPr id="13" name="Group 14">
          <a:hlinkClick xmlns:r="http://schemas.openxmlformats.org/officeDocument/2006/relationships" r:id="rId8"/>
          <a:extLst>
            <a:ext uri="{FF2B5EF4-FFF2-40B4-BE49-F238E27FC236}">
              <a16:creationId xmlns:a16="http://schemas.microsoft.com/office/drawing/2014/main" id="{F3E4B47A-44A3-4073-BA9C-661B495C6D99}"/>
            </a:ext>
          </a:extLst>
        </xdr:cNvPr>
        <xdr:cNvGrpSpPr/>
      </xdr:nvGrpSpPr>
      <xdr:grpSpPr>
        <a:xfrm>
          <a:off x="5582879" y="536473"/>
          <a:ext cx="1007804" cy="939948"/>
          <a:chOff x="1766260" y="812959"/>
          <a:chExt cx="1113414" cy="1033899"/>
        </a:xfrm>
      </xdr:grpSpPr>
      <xdr:sp macro="" textlink="">
        <xdr:nvSpPr>
          <xdr:cNvPr id="14" name="Elipse 4">
            <a:extLst>
              <a:ext uri="{FF2B5EF4-FFF2-40B4-BE49-F238E27FC236}">
                <a16:creationId xmlns:a16="http://schemas.microsoft.com/office/drawing/2014/main" id="{83800DAD-AB26-21E0-45DB-B2CDA7B42E89}"/>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5">
            <a:extLst>
              <a:ext uri="{FF2B5EF4-FFF2-40B4-BE49-F238E27FC236}">
                <a16:creationId xmlns:a16="http://schemas.microsoft.com/office/drawing/2014/main" id="{2F669CFA-06ED-FCBA-7250-77ECEFE815D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64FE88F3-5FF5-4998-BC3F-F4E9EB9CDE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8B5111F5-C9DC-4D04-A1B5-FCE11DE7CB0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331FAE4C-5730-45EB-954A-0611FC7DD571}"/>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BA41CCBA-986F-4D2C-9E43-5B3CCD756C07}"/>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4B62D5A0-7B45-4B45-8836-AF3568559EBA}"/>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5ABE43D4-27F6-4E51-9004-7E9A88BF7A6C}"/>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5A0AA0C0-4669-4329-BE0B-EF615BA0122E}"/>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61452</xdr:rowOff>
    </xdr:from>
    <xdr:to>
      <xdr:col>11</xdr:col>
      <xdr:colOff>431390</xdr:colOff>
      <xdr:row>1</xdr:row>
      <xdr:rowOff>216310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FBCCEC8E-B815-4497-B926-80EF475BE1D9}"/>
            </a:ext>
          </a:extLst>
        </xdr:cNvPr>
        <xdr:cNvSpPr/>
      </xdr:nvSpPr>
      <xdr:spPr>
        <a:xfrm>
          <a:off x="5424027" y="61452"/>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127000</xdr:colOff>
      <xdr:row>1</xdr:row>
      <xdr:rowOff>428625</xdr:rowOff>
    </xdr:from>
    <xdr:to>
      <xdr:col>10</xdr:col>
      <xdr:colOff>1134804</xdr:colOff>
      <xdr:row>4</xdr:row>
      <xdr:rowOff>101543</xdr:rowOff>
    </xdr:to>
    <xdr:grpSp>
      <xdr:nvGrpSpPr>
        <xdr:cNvPr id="13" name="Group 14">
          <a:hlinkClick xmlns:r="http://schemas.openxmlformats.org/officeDocument/2006/relationships" r:id="rId8"/>
          <a:extLst>
            <a:ext uri="{FF2B5EF4-FFF2-40B4-BE49-F238E27FC236}">
              <a16:creationId xmlns:a16="http://schemas.microsoft.com/office/drawing/2014/main" id="{654DC7B7-0406-4368-8573-5E5A47B9561D}"/>
            </a:ext>
          </a:extLst>
        </xdr:cNvPr>
        <xdr:cNvGrpSpPr/>
      </xdr:nvGrpSpPr>
      <xdr:grpSpPr>
        <a:xfrm>
          <a:off x="5556250" y="581025"/>
          <a:ext cx="1007804" cy="930218"/>
          <a:chOff x="1766260" y="812959"/>
          <a:chExt cx="1113414" cy="1033899"/>
        </a:xfrm>
      </xdr:grpSpPr>
      <xdr:sp macro="" textlink="">
        <xdr:nvSpPr>
          <xdr:cNvPr id="14" name="Elipse 4">
            <a:extLst>
              <a:ext uri="{FF2B5EF4-FFF2-40B4-BE49-F238E27FC236}">
                <a16:creationId xmlns:a16="http://schemas.microsoft.com/office/drawing/2014/main" id="{11E9F810-A26C-0BB2-B9B0-B73E7D436C73}"/>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5">
            <a:extLst>
              <a:ext uri="{FF2B5EF4-FFF2-40B4-BE49-F238E27FC236}">
                <a16:creationId xmlns:a16="http://schemas.microsoft.com/office/drawing/2014/main" id="{AC8FDD01-04A4-8408-ABC0-B7DDB59D72B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27.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A5B0D264-FCC2-4652-9671-E469862014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D63CE7B9-F5E8-48C5-8659-D73C30ECF97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ED1DE0A0-844A-4A06-ABE6-2AA421C0BF03}"/>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9CD3F077-9DBC-41D4-8195-E8F4A84C6A8A}"/>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84229309-273E-47FC-9730-743A2D90FC48}"/>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D37204B2-5F01-49E4-A1C4-4EB3B20DBAC4}"/>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23176CAC-9A45-475A-AF9F-36F9821A2F60}"/>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61452</xdr:rowOff>
    </xdr:from>
    <xdr:to>
      <xdr:col>11</xdr:col>
      <xdr:colOff>431390</xdr:colOff>
      <xdr:row>1</xdr:row>
      <xdr:rowOff>216310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1F566328-DA73-4FD6-B48B-E2396F693053}"/>
            </a:ext>
          </a:extLst>
        </xdr:cNvPr>
        <xdr:cNvSpPr/>
      </xdr:nvSpPr>
      <xdr:spPr>
        <a:xfrm>
          <a:off x="5424027" y="61452"/>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190500</xdr:colOff>
      <xdr:row>1</xdr:row>
      <xdr:rowOff>381000</xdr:rowOff>
    </xdr:from>
    <xdr:to>
      <xdr:col>10</xdr:col>
      <xdr:colOff>1198304</xdr:colOff>
      <xdr:row>4</xdr:row>
      <xdr:rowOff>53918</xdr:rowOff>
    </xdr:to>
    <xdr:grpSp>
      <xdr:nvGrpSpPr>
        <xdr:cNvPr id="13" name="Group 14">
          <a:hlinkClick xmlns:r="http://schemas.openxmlformats.org/officeDocument/2006/relationships" r:id="rId8"/>
          <a:extLst>
            <a:ext uri="{FF2B5EF4-FFF2-40B4-BE49-F238E27FC236}">
              <a16:creationId xmlns:a16="http://schemas.microsoft.com/office/drawing/2014/main" id="{A7EC34D6-AE65-4349-B58F-9E12B0563A42}"/>
            </a:ext>
          </a:extLst>
        </xdr:cNvPr>
        <xdr:cNvGrpSpPr/>
      </xdr:nvGrpSpPr>
      <xdr:grpSpPr>
        <a:xfrm>
          <a:off x="5619750" y="533400"/>
          <a:ext cx="1007804" cy="930218"/>
          <a:chOff x="1766260" y="812959"/>
          <a:chExt cx="1113414" cy="1033899"/>
        </a:xfrm>
      </xdr:grpSpPr>
      <xdr:sp macro="" textlink="">
        <xdr:nvSpPr>
          <xdr:cNvPr id="14" name="Elipse 4">
            <a:extLst>
              <a:ext uri="{FF2B5EF4-FFF2-40B4-BE49-F238E27FC236}">
                <a16:creationId xmlns:a16="http://schemas.microsoft.com/office/drawing/2014/main" id="{E3B9BE6B-B81D-03CF-8FF2-6E912A7CB0C1}"/>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5">
            <a:extLst>
              <a:ext uri="{FF2B5EF4-FFF2-40B4-BE49-F238E27FC236}">
                <a16:creationId xmlns:a16="http://schemas.microsoft.com/office/drawing/2014/main" id="{0B074756-B22F-4E84-985C-7DE57EDF0FC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168993</xdr:colOff>
      <xdr:row>1</xdr:row>
      <xdr:rowOff>107541</xdr:rowOff>
    </xdr:from>
    <xdr:to>
      <xdr:col>2</xdr:col>
      <xdr:colOff>1115685</xdr:colOff>
      <xdr:row>3</xdr:row>
      <xdr:rowOff>295695</xdr:rowOff>
    </xdr:to>
    <xdr:pic>
      <xdr:nvPicPr>
        <xdr:cNvPr id="2" name="Imagem 1">
          <a:extLst>
            <a:ext uri="{FF2B5EF4-FFF2-40B4-BE49-F238E27FC236}">
              <a16:creationId xmlns:a16="http://schemas.microsoft.com/office/drawing/2014/main" id="{62B6433D-ECB4-4A35-B4C0-758AA6FD39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3" y="250416"/>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D9472E87-FC4F-44B2-897E-3DE60F2953E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BE94BBF5-50F6-4534-943D-90236E950369}"/>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2FF17871-F005-477C-9288-F8652E8C989F}"/>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202752A1-A79C-489E-8469-8E4884604948}"/>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3" name="Isosceles Triangle 23">
          <a:hlinkClick xmlns:r="http://schemas.openxmlformats.org/officeDocument/2006/relationships" r:id="rId5"/>
          <a:extLst>
            <a:ext uri="{FF2B5EF4-FFF2-40B4-BE49-F238E27FC236}">
              <a16:creationId xmlns:a16="http://schemas.microsoft.com/office/drawing/2014/main" id="{4757CD99-24B0-4ED5-9FCF-F161A137B210}"/>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735832CD-9313-4B4E-9830-317A1FAA458D}"/>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61452</xdr:colOff>
      <xdr:row>0</xdr:row>
      <xdr:rowOff>61452</xdr:rowOff>
    </xdr:from>
    <xdr:to>
      <xdr:col>11</xdr:col>
      <xdr:colOff>431390</xdr:colOff>
      <xdr:row>1</xdr:row>
      <xdr:rowOff>216310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F704A106-A168-4883-A9CD-ADABA2B3D3B4}"/>
            </a:ext>
          </a:extLst>
        </xdr:cNvPr>
        <xdr:cNvSpPr/>
      </xdr:nvSpPr>
      <xdr:spPr>
        <a:xfrm>
          <a:off x="5424027" y="61452"/>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142875</xdr:colOff>
      <xdr:row>1</xdr:row>
      <xdr:rowOff>412750</xdr:rowOff>
    </xdr:from>
    <xdr:to>
      <xdr:col>10</xdr:col>
      <xdr:colOff>1150679</xdr:colOff>
      <xdr:row>4</xdr:row>
      <xdr:rowOff>85668</xdr:rowOff>
    </xdr:to>
    <xdr:grpSp>
      <xdr:nvGrpSpPr>
        <xdr:cNvPr id="17" name="Group 14">
          <a:hlinkClick xmlns:r="http://schemas.openxmlformats.org/officeDocument/2006/relationships" r:id="rId8"/>
          <a:extLst>
            <a:ext uri="{FF2B5EF4-FFF2-40B4-BE49-F238E27FC236}">
              <a16:creationId xmlns:a16="http://schemas.microsoft.com/office/drawing/2014/main" id="{E1DE0FAA-4548-4A46-B7B3-17D445CED0F3}"/>
            </a:ext>
          </a:extLst>
        </xdr:cNvPr>
        <xdr:cNvGrpSpPr/>
      </xdr:nvGrpSpPr>
      <xdr:grpSpPr>
        <a:xfrm>
          <a:off x="5572125" y="565150"/>
          <a:ext cx="1007804" cy="930218"/>
          <a:chOff x="1766260" y="812959"/>
          <a:chExt cx="1113414" cy="1033899"/>
        </a:xfrm>
      </xdr:grpSpPr>
      <xdr:sp macro="" textlink="">
        <xdr:nvSpPr>
          <xdr:cNvPr id="18" name="Elipse 4">
            <a:extLst>
              <a:ext uri="{FF2B5EF4-FFF2-40B4-BE49-F238E27FC236}">
                <a16:creationId xmlns:a16="http://schemas.microsoft.com/office/drawing/2014/main" id="{D84EF7AF-9D9A-654D-49E1-76A8F28DEFDD}"/>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5">
            <a:extLst>
              <a:ext uri="{FF2B5EF4-FFF2-40B4-BE49-F238E27FC236}">
                <a16:creationId xmlns:a16="http://schemas.microsoft.com/office/drawing/2014/main" id="{5C2111F4-44E3-1192-2F70-0CC2B8F21AE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804720" y="853022"/>
            <a:ext cx="998039" cy="933416"/>
          </a:xfrm>
          <a:prstGeom prst="rect">
            <a:avLst/>
          </a:prstGeom>
        </xdr:spPr>
      </xdr:pic>
    </xdr:grpSp>
    <xdr:clientData/>
  </xdr:twoCellAnchor>
</xdr:wsDr>
</file>

<file path=xl/drawings/drawing29.xml><?xml version="1.0" encoding="utf-8"?>
<xdr:wsDr xmlns:xdr="http://schemas.openxmlformats.org/drawingml/2006/spreadsheetDrawing" xmlns:a="http://schemas.openxmlformats.org/drawingml/2006/main">
  <xdr:twoCellAnchor editAs="oneCell">
    <xdr:from>
      <xdr:col>2</xdr:col>
      <xdr:colOff>92177</xdr:colOff>
      <xdr:row>1</xdr:row>
      <xdr:rowOff>153629</xdr:rowOff>
    </xdr:from>
    <xdr:to>
      <xdr:col>2</xdr:col>
      <xdr:colOff>1038869</xdr:colOff>
      <xdr:row>3</xdr:row>
      <xdr:rowOff>341783</xdr:rowOff>
    </xdr:to>
    <xdr:pic>
      <xdr:nvPicPr>
        <xdr:cNvPr id="2" name="Imagem 1">
          <a:extLst>
            <a:ext uri="{FF2B5EF4-FFF2-40B4-BE49-F238E27FC236}">
              <a16:creationId xmlns:a16="http://schemas.microsoft.com/office/drawing/2014/main" id="{0E64ACB5-1EA1-4D16-A2B3-A568521B56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1612" y="291895"/>
          <a:ext cx="946692" cy="987025"/>
        </a:xfrm>
        <a:prstGeom prst="rect">
          <a:avLst/>
        </a:prstGeom>
      </xdr:spPr>
    </xdr:pic>
    <xdr:clientData/>
  </xdr:twoCellAnchor>
  <xdr:twoCellAnchor>
    <xdr:from>
      <xdr:col>10</xdr:col>
      <xdr:colOff>220201</xdr:colOff>
      <xdr:row>1</xdr:row>
      <xdr:rowOff>444500</xdr:rowOff>
    </xdr:from>
    <xdr:to>
      <xdr:col>10</xdr:col>
      <xdr:colOff>1111250</xdr:colOff>
      <xdr:row>4</xdr:row>
      <xdr:rowOff>45856</xdr:rowOff>
    </xdr:to>
    <xdr:grpSp>
      <xdr:nvGrpSpPr>
        <xdr:cNvPr id="3" name="Agrupar 2">
          <a:hlinkClick xmlns:r="http://schemas.openxmlformats.org/officeDocument/2006/relationships" r:id="rId2"/>
          <a:extLst>
            <a:ext uri="{FF2B5EF4-FFF2-40B4-BE49-F238E27FC236}">
              <a16:creationId xmlns:a16="http://schemas.microsoft.com/office/drawing/2014/main" id="{32CD2894-B62D-42CB-9F63-F5EF7D81C411}"/>
            </a:ext>
          </a:extLst>
        </xdr:cNvPr>
        <xdr:cNvGrpSpPr/>
      </xdr:nvGrpSpPr>
      <xdr:grpSpPr>
        <a:xfrm>
          <a:off x="5649451" y="596900"/>
          <a:ext cx="891049" cy="858656"/>
          <a:chOff x="9022773" y="21388"/>
          <a:chExt cx="1593272" cy="1762386"/>
        </a:xfrm>
        <a:effectLst>
          <a:outerShdw blurRad="63500" sx="102000" sy="102000" algn="ctr" rotWithShape="0">
            <a:prstClr val="black">
              <a:alpha val="40000"/>
            </a:prstClr>
          </a:outerShdw>
        </a:effectLst>
      </xdr:grpSpPr>
      <xdr:sp macro="" textlink="">
        <xdr:nvSpPr>
          <xdr:cNvPr id="4" name="Elipse 3">
            <a:extLst>
              <a:ext uri="{FF2B5EF4-FFF2-40B4-BE49-F238E27FC236}">
                <a16:creationId xmlns:a16="http://schemas.microsoft.com/office/drawing/2014/main" id="{A3F8E357-178A-B54F-CB28-C0A6161A9C1B}"/>
              </a:ext>
            </a:extLst>
          </xdr:cNvPr>
          <xdr:cNvSpPr/>
        </xdr:nvSpPr>
        <xdr:spPr>
          <a:xfrm>
            <a:off x="9022773" y="21388"/>
            <a:ext cx="1593272" cy="176238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5" name="Imagem 4">
            <a:extLst>
              <a:ext uri="{FF2B5EF4-FFF2-40B4-BE49-F238E27FC236}">
                <a16:creationId xmlns:a16="http://schemas.microsoft.com/office/drawing/2014/main" id="{A71AFFA7-0652-E4AB-CEEE-757FD1E2FB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42685" y="155864"/>
            <a:ext cx="1364857" cy="1569519"/>
          </a:xfrm>
          <a:prstGeom prst="rect">
            <a:avLst/>
          </a:prstGeom>
          <a:ln>
            <a:noFill/>
          </a:ln>
        </xdr:spPr>
      </xdr:pic>
    </xdr:grpSp>
    <xdr:clientData/>
  </xdr:twoCellAnchor>
  <xdr:oneCellAnchor>
    <xdr:from>
      <xdr:col>17</xdr:col>
      <xdr:colOff>1223950</xdr:colOff>
      <xdr:row>0</xdr:row>
      <xdr:rowOff>0</xdr:rowOff>
    </xdr:from>
    <xdr:ext cx="646896" cy="677573"/>
    <xdr:pic>
      <xdr:nvPicPr>
        <xdr:cNvPr id="6" name="Gráfico 5" descr="Início com preenchimento sólido">
          <a:hlinkClick xmlns:r="http://schemas.openxmlformats.org/officeDocument/2006/relationships" r:id="rId4"/>
          <a:extLst>
            <a:ext uri="{FF2B5EF4-FFF2-40B4-BE49-F238E27FC236}">
              <a16:creationId xmlns:a16="http://schemas.microsoft.com/office/drawing/2014/main" id="{5B1972B4-CC2B-4017-A921-BAA8CD168F2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7339635" y="0"/>
          <a:ext cx="646896" cy="677573"/>
        </a:xfrm>
        <a:prstGeom prst="rect">
          <a:avLst/>
        </a:prstGeom>
      </xdr:spPr>
    </xdr:pic>
    <xdr:clientData/>
  </xdr:oneCellAnchor>
  <xdr:twoCellAnchor>
    <xdr:from>
      <xdr:col>17</xdr:col>
      <xdr:colOff>1077424</xdr:colOff>
      <xdr:row>1</xdr:row>
      <xdr:rowOff>473774</xdr:rowOff>
    </xdr:from>
    <xdr:to>
      <xdr:col>18</xdr:col>
      <xdr:colOff>465103</xdr:colOff>
      <xdr:row>2</xdr:row>
      <xdr:rowOff>188024</xdr:rowOff>
    </xdr:to>
    <xdr:sp macro="" textlink="">
      <xdr:nvSpPr>
        <xdr:cNvPr id="7" name="TextBox 18">
          <a:extLst>
            <a:ext uri="{FF2B5EF4-FFF2-40B4-BE49-F238E27FC236}">
              <a16:creationId xmlns:a16="http://schemas.microsoft.com/office/drawing/2014/main" id="{0FDE1E8F-1A8D-4C7A-98BB-5AC5DAB8289D}"/>
            </a:ext>
          </a:extLst>
        </xdr:cNvPr>
        <xdr:cNvSpPr txBox="1"/>
      </xdr:nvSpPr>
      <xdr:spPr>
        <a:xfrm>
          <a:off x="17193109" y="612040"/>
          <a:ext cx="923970" cy="267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331752</xdr:colOff>
      <xdr:row>1</xdr:row>
      <xdr:rowOff>487381</xdr:rowOff>
    </xdr:from>
    <xdr:to>
      <xdr:col>18</xdr:col>
      <xdr:colOff>1335960</xdr:colOff>
      <xdr:row>2</xdr:row>
      <xdr:rowOff>232443</xdr:rowOff>
    </xdr:to>
    <xdr:sp macro="" textlink="">
      <xdr:nvSpPr>
        <xdr:cNvPr id="8" name="TextBox 19">
          <a:extLst>
            <a:ext uri="{FF2B5EF4-FFF2-40B4-BE49-F238E27FC236}">
              <a16:creationId xmlns:a16="http://schemas.microsoft.com/office/drawing/2014/main" id="{5035C19F-E18D-4E93-921E-102DC3050873}"/>
            </a:ext>
          </a:extLst>
        </xdr:cNvPr>
        <xdr:cNvSpPr txBox="1"/>
      </xdr:nvSpPr>
      <xdr:spPr>
        <a:xfrm>
          <a:off x="17983728" y="625647"/>
          <a:ext cx="1004208" cy="29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307259</xdr:colOff>
      <xdr:row>1</xdr:row>
      <xdr:rowOff>476495</xdr:rowOff>
    </xdr:from>
    <xdr:to>
      <xdr:col>17</xdr:col>
      <xdr:colOff>1311467</xdr:colOff>
      <xdr:row>2</xdr:row>
      <xdr:rowOff>221557</xdr:rowOff>
    </xdr:to>
    <xdr:sp macro="" textlink="">
      <xdr:nvSpPr>
        <xdr:cNvPr id="9" name="TextBox 22">
          <a:extLst>
            <a:ext uri="{FF2B5EF4-FFF2-40B4-BE49-F238E27FC236}">
              <a16:creationId xmlns:a16="http://schemas.microsoft.com/office/drawing/2014/main" id="{92920909-5D8D-400B-A279-B0221A70C97C}"/>
            </a:ext>
          </a:extLst>
        </xdr:cNvPr>
        <xdr:cNvSpPr txBox="1"/>
      </xdr:nvSpPr>
      <xdr:spPr>
        <a:xfrm>
          <a:off x="16422944" y="614761"/>
          <a:ext cx="1004208" cy="29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730443</xdr:colOff>
      <xdr:row>0</xdr:row>
      <xdr:rowOff>101773</xdr:rowOff>
    </xdr:from>
    <xdr:to>
      <xdr:col>18</xdr:col>
      <xdr:colOff>1111443</xdr:colOff>
      <xdr:row>1</xdr:row>
      <xdr:rowOff>446563</xdr:rowOff>
    </xdr:to>
    <xdr:sp macro="" textlink="">
      <xdr:nvSpPr>
        <xdr:cNvPr id="10" name="Isosceles Triangle 23">
          <a:hlinkClick xmlns:r="http://schemas.openxmlformats.org/officeDocument/2006/relationships" r:id="rId7"/>
          <a:extLst>
            <a:ext uri="{FF2B5EF4-FFF2-40B4-BE49-F238E27FC236}">
              <a16:creationId xmlns:a16="http://schemas.microsoft.com/office/drawing/2014/main" id="{01DCE2B3-C08D-4DB2-8590-66A505EE0375}"/>
            </a:ext>
          </a:extLst>
        </xdr:cNvPr>
        <xdr:cNvSpPr/>
      </xdr:nvSpPr>
      <xdr:spPr>
        <a:xfrm rot="5400000">
          <a:off x="18331391" y="152801"/>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603278</xdr:colOff>
      <xdr:row>0</xdr:row>
      <xdr:rowOff>135420</xdr:rowOff>
    </xdr:from>
    <xdr:to>
      <xdr:col>17</xdr:col>
      <xdr:colOff>984278</xdr:colOff>
      <xdr:row>1</xdr:row>
      <xdr:rowOff>480210</xdr:rowOff>
    </xdr:to>
    <xdr:sp macro="" textlink="">
      <xdr:nvSpPr>
        <xdr:cNvPr id="11" name="Isosceles Triangle 25">
          <a:hlinkClick xmlns:r="http://schemas.openxmlformats.org/officeDocument/2006/relationships" r:id="rId8"/>
          <a:extLst>
            <a:ext uri="{FF2B5EF4-FFF2-40B4-BE49-F238E27FC236}">
              <a16:creationId xmlns:a16="http://schemas.microsoft.com/office/drawing/2014/main" id="{AAEA3E64-D73E-42B7-9E92-4CE14BCD2864}"/>
            </a:ext>
          </a:extLst>
        </xdr:cNvPr>
        <xdr:cNvSpPr/>
      </xdr:nvSpPr>
      <xdr:spPr>
        <a:xfrm rot="16200000">
          <a:off x="16667935" y="186448"/>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15363</xdr:colOff>
      <xdr:row>0</xdr:row>
      <xdr:rowOff>0</xdr:rowOff>
    </xdr:from>
    <xdr:to>
      <xdr:col>11</xdr:col>
      <xdr:colOff>385301</xdr:colOff>
      <xdr:row>1</xdr:row>
      <xdr:rowOff>154858</xdr:rowOff>
    </xdr:to>
    <xdr:sp macro="" textlink="">
      <xdr:nvSpPr>
        <xdr:cNvPr id="13" name="Retângulo 12">
          <a:hlinkClick xmlns:r="http://schemas.openxmlformats.org/officeDocument/2006/relationships" r:id="rId9"/>
          <a:extLst>
            <a:ext uri="{FF2B5EF4-FFF2-40B4-BE49-F238E27FC236}">
              <a16:creationId xmlns:a16="http://schemas.microsoft.com/office/drawing/2014/main" id="{59DB2E45-8EFC-465B-B5B0-E0726AF88A29}"/>
            </a:ext>
          </a:extLst>
        </xdr:cNvPr>
        <xdr:cNvSpPr/>
      </xdr:nvSpPr>
      <xdr:spPr>
        <a:xfrm>
          <a:off x="5377016" y="0"/>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7</xdr:row>
      <xdr:rowOff>23811</xdr:rowOff>
    </xdr:from>
    <xdr:to>
      <xdr:col>4</xdr:col>
      <xdr:colOff>361950</xdr:colOff>
      <xdr:row>24</xdr:row>
      <xdr:rowOff>104774</xdr:rowOff>
    </xdr:to>
    <xdr:graphicFrame macro="">
      <xdr:nvGraphicFramePr>
        <xdr:cNvPr id="3" name="Gráfico 2">
          <a:extLst>
            <a:ext uri="{FF2B5EF4-FFF2-40B4-BE49-F238E27FC236}">
              <a16:creationId xmlns:a16="http://schemas.microsoft.com/office/drawing/2014/main" id="{E9197902-E84C-2D10-E976-F029DF73C7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7</xdr:row>
      <xdr:rowOff>71437</xdr:rowOff>
    </xdr:from>
    <xdr:to>
      <xdr:col>11</xdr:col>
      <xdr:colOff>514350</xdr:colOff>
      <xdr:row>21</xdr:row>
      <xdr:rowOff>147637</xdr:rowOff>
    </xdr:to>
    <xdr:graphicFrame macro="">
      <xdr:nvGraphicFramePr>
        <xdr:cNvPr id="4" name="Gráfico 3">
          <a:extLst>
            <a:ext uri="{FF2B5EF4-FFF2-40B4-BE49-F238E27FC236}">
              <a16:creationId xmlns:a16="http://schemas.microsoft.com/office/drawing/2014/main" id="{DAC22432-7C8B-A027-6FAC-F102CFBC02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400050</xdr:colOff>
      <xdr:row>7</xdr:row>
      <xdr:rowOff>71437</xdr:rowOff>
    </xdr:from>
    <xdr:to>
      <xdr:col>20</xdr:col>
      <xdr:colOff>95250</xdr:colOff>
      <xdr:row>21</xdr:row>
      <xdr:rowOff>147637</xdr:rowOff>
    </xdr:to>
    <xdr:graphicFrame macro="">
      <xdr:nvGraphicFramePr>
        <xdr:cNvPr id="5" name="Gráfico 4">
          <a:extLst>
            <a:ext uri="{FF2B5EF4-FFF2-40B4-BE49-F238E27FC236}">
              <a16:creationId xmlns:a16="http://schemas.microsoft.com/office/drawing/2014/main" id="{B5221A73-0AF5-EE8C-8680-C23B5166218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466725</xdr:colOff>
      <xdr:row>33</xdr:row>
      <xdr:rowOff>47625</xdr:rowOff>
    </xdr:from>
    <xdr:to>
      <xdr:col>15</xdr:col>
      <xdr:colOff>590550</xdr:colOff>
      <xdr:row>50</xdr:row>
      <xdr:rowOff>180975</xdr:rowOff>
    </xdr:to>
    <xdr:graphicFrame macro="">
      <xdr:nvGraphicFramePr>
        <xdr:cNvPr id="6" name="Gráfico 3">
          <a:extLst>
            <a:ext uri="{FF2B5EF4-FFF2-40B4-BE49-F238E27FC236}">
              <a16:creationId xmlns:a16="http://schemas.microsoft.com/office/drawing/2014/main" id="{A5550DE1-2830-49A1-8C08-66CBE116CB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2</xdr:col>
      <xdr:colOff>92177</xdr:colOff>
      <xdr:row>1</xdr:row>
      <xdr:rowOff>153629</xdr:rowOff>
    </xdr:from>
    <xdr:to>
      <xdr:col>2</xdr:col>
      <xdr:colOff>1038869</xdr:colOff>
      <xdr:row>3</xdr:row>
      <xdr:rowOff>341783</xdr:rowOff>
    </xdr:to>
    <xdr:pic>
      <xdr:nvPicPr>
        <xdr:cNvPr id="2" name="Imagem 1">
          <a:extLst>
            <a:ext uri="{FF2B5EF4-FFF2-40B4-BE49-F238E27FC236}">
              <a16:creationId xmlns:a16="http://schemas.microsoft.com/office/drawing/2014/main" id="{676BD360-3B70-401A-9705-07662521E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227" y="296504"/>
          <a:ext cx="946692" cy="988254"/>
        </a:xfrm>
        <a:prstGeom prst="rect">
          <a:avLst/>
        </a:prstGeom>
      </xdr:spPr>
    </xdr:pic>
    <xdr:clientData/>
  </xdr:twoCellAnchor>
  <xdr:oneCellAnchor>
    <xdr:from>
      <xdr:col>17</xdr:col>
      <xdr:colOff>1223950</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B6E50F60-8666-420E-87F0-0E5B72061A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200" y="0"/>
          <a:ext cx="646896" cy="677573"/>
        </a:xfrm>
        <a:prstGeom prst="rect">
          <a:avLst/>
        </a:prstGeom>
      </xdr:spPr>
    </xdr:pic>
    <xdr:clientData/>
  </xdr:oneCellAnchor>
  <xdr:twoCellAnchor>
    <xdr:from>
      <xdr:col>17</xdr:col>
      <xdr:colOff>1077424</xdr:colOff>
      <xdr:row>1</xdr:row>
      <xdr:rowOff>473774</xdr:rowOff>
    </xdr:from>
    <xdr:to>
      <xdr:col>18</xdr:col>
      <xdr:colOff>465103</xdr:colOff>
      <xdr:row>2</xdr:row>
      <xdr:rowOff>188024</xdr:rowOff>
    </xdr:to>
    <xdr:sp macro="" textlink="">
      <xdr:nvSpPr>
        <xdr:cNvPr id="7" name="TextBox 18">
          <a:extLst>
            <a:ext uri="{FF2B5EF4-FFF2-40B4-BE49-F238E27FC236}">
              <a16:creationId xmlns:a16="http://schemas.microsoft.com/office/drawing/2014/main" id="{E3D74939-5040-4566-AB1F-7103B805343C}"/>
            </a:ext>
          </a:extLst>
        </xdr:cNvPr>
        <xdr:cNvSpPr txBox="1"/>
      </xdr:nvSpPr>
      <xdr:spPr>
        <a:xfrm>
          <a:off x="17174674"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331752</xdr:colOff>
      <xdr:row>1</xdr:row>
      <xdr:rowOff>487381</xdr:rowOff>
    </xdr:from>
    <xdr:to>
      <xdr:col>18</xdr:col>
      <xdr:colOff>1335960</xdr:colOff>
      <xdr:row>2</xdr:row>
      <xdr:rowOff>232443</xdr:rowOff>
    </xdr:to>
    <xdr:sp macro="" textlink="">
      <xdr:nvSpPr>
        <xdr:cNvPr id="8" name="TextBox 19">
          <a:extLst>
            <a:ext uri="{FF2B5EF4-FFF2-40B4-BE49-F238E27FC236}">
              <a16:creationId xmlns:a16="http://schemas.microsoft.com/office/drawing/2014/main" id="{D4063052-2B98-43D7-BEEF-925408FA0D56}"/>
            </a:ext>
          </a:extLst>
        </xdr:cNvPr>
        <xdr:cNvSpPr txBox="1"/>
      </xdr:nvSpPr>
      <xdr:spPr>
        <a:xfrm>
          <a:off x="17962527"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307259</xdr:colOff>
      <xdr:row>1</xdr:row>
      <xdr:rowOff>476495</xdr:rowOff>
    </xdr:from>
    <xdr:to>
      <xdr:col>17</xdr:col>
      <xdr:colOff>1311467</xdr:colOff>
      <xdr:row>2</xdr:row>
      <xdr:rowOff>221557</xdr:rowOff>
    </xdr:to>
    <xdr:sp macro="" textlink="">
      <xdr:nvSpPr>
        <xdr:cNvPr id="9" name="TextBox 22">
          <a:extLst>
            <a:ext uri="{FF2B5EF4-FFF2-40B4-BE49-F238E27FC236}">
              <a16:creationId xmlns:a16="http://schemas.microsoft.com/office/drawing/2014/main" id="{D2FC0E0D-8DC1-4F2A-B94F-4720D43AE5F8}"/>
            </a:ext>
          </a:extLst>
        </xdr:cNvPr>
        <xdr:cNvSpPr txBox="1"/>
      </xdr:nvSpPr>
      <xdr:spPr>
        <a:xfrm>
          <a:off x="16404509"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730443</xdr:colOff>
      <xdr:row>0</xdr:row>
      <xdr:rowOff>101773</xdr:rowOff>
    </xdr:from>
    <xdr:to>
      <xdr:col>18</xdr:col>
      <xdr:colOff>1111443</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9E3B0A9F-A8AB-4D92-8C99-7D2417E59183}"/>
            </a:ext>
          </a:extLst>
        </xdr:cNvPr>
        <xdr:cNvSpPr/>
      </xdr:nvSpPr>
      <xdr:spPr>
        <a:xfrm rot="5400000">
          <a:off x="18307885"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603278</xdr:colOff>
      <xdr:row>0</xdr:row>
      <xdr:rowOff>135420</xdr:rowOff>
    </xdr:from>
    <xdr:to>
      <xdr:col>17</xdr:col>
      <xdr:colOff>984278</xdr:colOff>
      <xdr:row>1</xdr:row>
      <xdr:rowOff>480210</xdr:rowOff>
    </xdr:to>
    <xdr:sp macro="" textlink="">
      <xdr:nvSpPr>
        <xdr:cNvPr id="11" name="Isosceles Triangle 25">
          <a:hlinkClick xmlns:r="http://schemas.openxmlformats.org/officeDocument/2006/relationships" r:id="rId6"/>
          <a:extLst>
            <a:ext uri="{FF2B5EF4-FFF2-40B4-BE49-F238E27FC236}">
              <a16:creationId xmlns:a16="http://schemas.microsoft.com/office/drawing/2014/main" id="{6FF863F1-6EA9-4CBF-B5DE-F97905B882EB}"/>
            </a:ext>
          </a:extLst>
        </xdr:cNvPr>
        <xdr:cNvSpPr/>
      </xdr:nvSpPr>
      <xdr:spPr>
        <a:xfrm rot="16200000">
          <a:off x="16647195"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15363</xdr:colOff>
      <xdr:row>0</xdr:row>
      <xdr:rowOff>0</xdr:rowOff>
    </xdr:from>
    <xdr:to>
      <xdr:col>11</xdr:col>
      <xdr:colOff>385301</xdr:colOff>
      <xdr:row>1</xdr:row>
      <xdr:rowOff>154858</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71032789-6E48-48AE-952A-B25D17A64A29}"/>
            </a:ext>
          </a:extLst>
        </xdr:cNvPr>
        <xdr:cNvSpPr/>
      </xdr:nvSpPr>
      <xdr:spPr>
        <a:xfrm>
          <a:off x="5377938" y="0"/>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174625</xdr:colOff>
      <xdr:row>1</xdr:row>
      <xdr:rowOff>444500</xdr:rowOff>
    </xdr:from>
    <xdr:to>
      <xdr:col>10</xdr:col>
      <xdr:colOff>1065674</xdr:colOff>
      <xdr:row>4</xdr:row>
      <xdr:rowOff>45856</xdr:rowOff>
    </xdr:to>
    <xdr:grpSp>
      <xdr:nvGrpSpPr>
        <xdr:cNvPr id="16" name="Agrupar 2">
          <a:hlinkClick xmlns:r="http://schemas.openxmlformats.org/officeDocument/2006/relationships" r:id="rId8"/>
          <a:extLst>
            <a:ext uri="{FF2B5EF4-FFF2-40B4-BE49-F238E27FC236}">
              <a16:creationId xmlns:a16="http://schemas.microsoft.com/office/drawing/2014/main" id="{CA677691-9D7F-4FA3-BD43-9B6ACA1AA8CF}"/>
            </a:ext>
          </a:extLst>
        </xdr:cNvPr>
        <xdr:cNvGrpSpPr/>
      </xdr:nvGrpSpPr>
      <xdr:grpSpPr>
        <a:xfrm>
          <a:off x="5603875" y="596900"/>
          <a:ext cx="891049" cy="858656"/>
          <a:chOff x="9022773" y="21388"/>
          <a:chExt cx="1593272" cy="1762386"/>
        </a:xfrm>
        <a:effectLst>
          <a:outerShdw blurRad="63500" sx="102000" sy="102000" algn="ctr" rotWithShape="0">
            <a:prstClr val="black">
              <a:alpha val="40000"/>
            </a:prstClr>
          </a:outerShdw>
        </a:effectLst>
      </xdr:grpSpPr>
      <xdr:sp macro="" textlink="">
        <xdr:nvSpPr>
          <xdr:cNvPr id="17" name="Elipse 3">
            <a:extLst>
              <a:ext uri="{FF2B5EF4-FFF2-40B4-BE49-F238E27FC236}">
                <a16:creationId xmlns:a16="http://schemas.microsoft.com/office/drawing/2014/main" id="{A4111EBC-F786-2518-021A-D51896FE0801}"/>
              </a:ext>
            </a:extLst>
          </xdr:cNvPr>
          <xdr:cNvSpPr/>
        </xdr:nvSpPr>
        <xdr:spPr>
          <a:xfrm>
            <a:off x="9022773" y="21388"/>
            <a:ext cx="1593272" cy="176238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8" name="Imagem 4">
            <a:extLst>
              <a:ext uri="{FF2B5EF4-FFF2-40B4-BE49-F238E27FC236}">
                <a16:creationId xmlns:a16="http://schemas.microsoft.com/office/drawing/2014/main" id="{BA940BA0-5EA7-9173-9AFB-614D2754DC6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142685" y="155864"/>
            <a:ext cx="1364857" cy="1569519"/>
          </a:xfrm>
          <a:prstGeom prst="rect">
            <a:avLst/>
          </a:prstGeom>
          <a:ln>
            <a:noFill/>
          </a:ln>
        </xdr:spPr>
      </xdr:pic>
    </xdr:grpSp>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92177</xdr:colOff>
      <xdr:row>1</xdr:row>
      <xdr:rowOff>153629</xdr:rowOff>
    </xdr:from>
    <xdr:to>
      <xdr:col>2</xdr:col>
      <xdr:colOff>1038869</xdr:colOff>
      <xdr:row>3</xdr:row>
      <xdr:rowOff>341783</xdr:rowOff>
    </xdr:to>
    <xdr:pic>
      <xdr:nvPicPr>
        <xdr:cNvPr id="2" name="Imagem 1">
          <a:extLst>
            <a:ext uri="{FF2B5EF4-FFF2-40B4-BE49-F238E27FC236}">
              <a16:creationId xmlns:a16="http://schemas.microsoft.com/office/drawing/2014/main" id="{9E4ABC71-A319-4A24-BC06-A62067CE1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227" y="296504"/>
          <a:ext cx="946692" cy="988254"/>
        </a:xfrm>
        <a:prstGeom prst="rect">
          <a:avLst/>
        </a:prstGeom>
      </xdr:spPr>
    </xdr:pic>
    <xdr:clientData/>
  </xdr:twoCellAnchor>
  <xdr:oneCellAnchor>
    <xdr:from>
      <xdr:col>17</xdr:col>
      <xdr:colOff>1223950</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397B038C-FC87-48B0-938F-B8B5F78DE4D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200" y="0"/>
          <a:ext cx="646896" cy="677573"/>
        </a:xfrm>
        <a:prstGeom prst="rect">
          <a:avLst/>
        </a:prstGeom>
      </xdr:spPr>
    </xdr:pic>
    <xdr:clientData/>
  </xdr:oneCellAnchor>
  <xdr:twoCellAnchor>
    <xdr:from>
      <xdr:col>17</xdr:col>
      <xdr:colOff>1077424</xdr:colOff>
      <xdr:row>1</xdr:row>
      <xdr:rowOff>473774</xdr:rowOff>
    </xdr:from>
    <xdr:to>
      <xdr:col>18</xdr:col>
      <xdr:colOff>465103</xdr:colOff>
      <xdr:row>2</xdr:row>
      <xdr:rowOff>188024</xdr:rowOff>
    </xdr:to>
    <xdr:sp macro="" textlink="">
      <xdr:nvSpPr>
        <xdr:cNvPr id="7" name="TextBox 18">
          <a:extLst>
            <a:ext uri="{FF2B5EF4-FFF2-40B4-BE49-F238E27FC236}">
              <a16:creationId xmlns:a16="http://schemas.microsoft.com/office/drawing/2014/main" id="{21ECF7A1-0742-4267-9540-03D6B16CD93F}"/>
            </a:ext>
          </a:extLst>
        </xdr:cNvPr>
        <xdr:cNvSpPr txBox="1"/>
      </xdr:nvSpPr>
      <xdr:spPr>
        <a:xfrm>
          <a:off x="17174674"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331752</xdr:colOff>
      <xdr:row>1</xdr:row>
      <xdr:rowOff>487381</xdr:rowOff>
    </xdr:from>
    <xdr:to>
      <xdr:col>18</xdr:col>
      <xdr:colOff>1335960</xdr:colOff>
      <xdr:row>2</xdr:row>
      <xdr:rowOff>232443</xdr:rowOff>
    </xdr:to>
    <xdr:sp macro="" textlink="">
      <xdr:nvSpPr>
        <xdr:cNvPr id="8" name="TextBox 19">
          <a:extLst>
            <a:ext uri="{FF2B5EF4-FFF2-40B4-BE49-F238E27FC236}">
              <a16:creationId xmlns:a16="http://schemas.microsoft.com/office/drawing/2014/main" id="{1DC3A9F0-F1EC-4F94-B354-4934725B48EB}"/>
            </a:ext>
          </a:extLst>
        </xdr:cNvPr>
        <xdr:cNvSpPr txBox="1"/>
      </xdr:nvSpPr>
      <xdr:spPr>
        <a:xfrm>
          <a:off x="17962527"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307259</xdr:colOff>
      <xdr:row>1</xdr:row>
      <xdr:rowOff>476495</xdr:rowOff>
    </xdr:from>
    <xdr:to>
      <xdr:col>17</xdr:col>
      <xdr:colOff>1311467</xdr:colOff>
      <xdr:row>2</xdr:row>
      <xdr:rowOff>221557</xdr:rowOff>
    </xdr:to>
    <xdr:sp macro="" textlink="">
      <xdr:nvSpPr>
        <xdr:cNvPr id="9" name="TextBox 22">
          <a:extLst>
            <a:ext uri="{FF2B5EF4-FFF2-40B4-BE49-F238E27FC236}">
              <a16:creationId xmlns:a16="http://schemas.microsoft.com/office/drawing/2014/main" id="{8A28DD11-BCFD-4923-B32D-2231BEF19842}"/>
            </a:ext>
          </a:extLst>
        </xdr:cNvPr>
        <xdr:cNvSpPr txBox="1"/>
      </xdr:nvSpPr>
      <xdr:spPr>
        <a:xfrm>
          <a:off x="16404509"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730443</xdr:colOff>
      <xdr:row>0</xdr:row>
      <xdr:rowOff>101773</xdr:rowOff>
    </xdr:from>
    <xdr:to>
      <xdr:col>18</xdr:col>
      <xdr:colOff>1111443</xdr:colOff>
      <xdr:row>1</xdr:row>
      <xdr:rowOff>446563</xdr:rowOff>
    </xdr:to>
    <xdr:sp macro="" textlink="">
      <xdr:nvSpPr>
        <xdr:cNvPr id="14" name="Isosceles Triangle 23">
          <a:hlinkClick xmlns:r="http://schemas.openxmlformats.org/officeDocument/2006/relationships" r:id="rId5"/>
          <a:extLst>
            <a:ext uri="{FF2B5EF4-FFF2-40B4-BE49-F238E27FC236}">
              <a16:creationId xmlns:a16="http://schemas.microsoft.com/office/drawing/2014/main" id="{6DCC17DB-7062-4E1B-B3EF-9CFD80231E1E}"/>
            </a:ext>
          </a:extLst>
        </xdr:cNvPr>
        <xdr:cNvSpPr/>
      </xdr:nvSpPr>
      <xdr:spPr>
        <a:xfrm rot="5400000">
          <a:off x="18307885"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603278</xdr:colOff>
      <xdr:row>0</xdr:row>
      <xdr:rowOff>135420</xdr:rowOff>
    </xdr:from>
    <xdr:to>
      <xdr:col>17</xdr:col>
      <xdr:colOff>984278</xdr:colOff>
      <xdr:row>1</xdr:row>
      <xdr:rowOff>480210</xdr:rowOff>
    </xdr:to>
    <xdr:sp macro="" textlink="">
      <xdr:nvSpPr>
        <xdr:cNvPr id="13" name="Isosceles Triangle 25">
          <a:hlinkClick xmlns:r="http://schemas.openxmlformats.org/officeDocument/2006/relationships" r:id="rId6"/>
          <a:extLst>
            <a:ext uri="{FF2B5EF4-FFF2-40B4-BE49-F238E27FC236}">
              <a16:creationId xmlns:a16="http://schemas.microsoft.com/office/drawing/2014/main" id="{228B0D4D-6E8F-4C06-8287-9968F3BE35EA}"/>
            </a:ext>
          </a:extLst>
        </xdr:cNvPr>
        <xdr:cNvSpPr/>
      </xdr:nvSpPr>
      <xdr:spPr>
        <a:xfrm rot="16200000">
          <a:off x="16667935" y="186448"/>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15363</xdr:colOff>
      <xdr:row>0</xdr:row>
      <xdr:rowOff>0</xdr:rowOff>
    </xdr:from>
    <xdr:to>
      <xdr:col>11</xdr:col>
      <xdr:colOff>385301</xdr:colOff>
      <xdr:row>1</xdr:row>
      <xdr:rowOff>154858</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B7A6A0CF-AD1A-4D2D-BAE0-FD043CD00D93}"/>
            </a:ext>
          </a:extLst>
        </xdr:cNvPr>
        <xdr:cNvSpPr/>
      </xdr:nvSpPr>
      <xdr:spPr>
        <a:xfrm>
          <a:off x="5377938" y="0"/>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174625</xdr:colOff>
      <xdr:row>1</xdr:row>
      <xdr:rowOff>476250</xdr:rowOff>
    </xdr:from>
    <xdr:to>
      <xdr:col>10</xdr:col>
      <xdr:colOff>1065674</xdr:colOff>
      <xdr:row>4</xdr:row>
      <xdr:rowOff>77606</xdr:rowOff>
    </xdr:to>
    <xdr:grpSp>
      <xdr:nvGrpSpPr>
        <xdr:cNvPr id="15" name="Agrupar 2">
          <a:hlinkClick xmlns:r="http://schemas.openxmlformats.org/officeDocument/2006/relationships" r:id="rId8"/>
          <a:extLst>
            <a:ext uri="{FF2B5EF4-FFF2-40B4-BE49-F238E27FC236}">
              <a16:creationId xmlns:a16="http://schemas.microsoft.com/office/drawing/2014/main" id="{2321CD1F-C51E-4E20-A3B1-8B83B82BB301}"/>
            </a:ext>
          </a:extLst>
        </xdr:cNvPr>
        <xdr:cNvGrpSpPr/>
      </xdr:nvGrpSpPr>
      <xdr:grpSpPr>
        <a:xfrm>
          <a:off x="5603875" y="628650"/>
          <a:ext cx="891049" cy="858656"/>
          <a:chOff x="9022773" y="21388"/>
          <a:chExt cx="1593272" cy="1762386"/>
        </a:xfrm>
        <a:effectLst>
          <a:outerShdw blurRad="63500" sx="102000" sy="102000" algn="ctr" rotWithShape="0">
            <a:prstClr val="black">
              <a:alpha val="40000"/>
            </a:prstClr>
          </a:outerShdw>
        </a:effectLst>
      </xdr:grpSpPr>
      <xdr:sp macro="" textlink="">
        <xdr:nvSpPr>
          <xdr:cNvPr id="16" name="Elipse 3">
            <a:extLst>
              <a:ext uri="{FF2B5EF4-FFF2-40B4-BE49-F238E27FC236}">
                <a16:creationId xmlns:a16="http://schemas.microsoft.com/office/drawing/2014/main" id="{207963AD-CF3A-AE5F-B021-B2D0112779F1}"/>
              </a:ext>
            </a:extLst>
          </xdr:cNvPr>
          <xdr:cNvSpPr/>
        </xdr:nvSpPr>
        <xdr:spPr>
          <a:xfrm>
            <a:off x="9022773" y="21388"/>
            <a:ext cx="1593272" cy="176238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7" name="Imagem 4">
            <a:extLst>
              <a:ext uri="{FF2B5EF4-FFF2-40B4-BE49-F238E27FC236}">
                <a16:creationId xmlns:a16="http://schemas.microsoft.com/office/drawing/2014/main" id="{DB4F388F-C3A6-4B12-4B20-40ADB1422B7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142685" y="155864"/>
            <a:ext cx="1364857" cy="1569519"/>
          </a:xfrm>
          <a:prstGeom prst="rect">
            <a:avLst/>
          </a:prstGeom>
          <a:ln>
            <a:noFill/>
          </a:ln>
        </xdr:spPr>
      </xdr:pic>
    </xdr:grpSp>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92177</xdr:colOff>
      <xdr:row>1</xdr:row>
      <xdr:rowOff>153629</xdr:rowOff>
    </xdr:from>
    <xdr:to>
      <xdr:col>2</xdr:col>
      <xdr:colOff>1038869</xdr:colOff>
      <xdr:row>3</xdr:row>
      <xdr:rowOff>341783</xdr:rowOff>
    </xdr:to>
    <xdr:pic>
      <xdr:nvPicPr>
        <xdr:cNvPr id="2" name="Imagem 1">
          <a:extLst>
            <a:ext uri="{FF2B5EF4-FFF2-40B4-BE49-F238E27FC236}">
              <a16:creationId xmlns:a16="http://schemas.microsoft.com/office/drawing/2014/main" id="{750C49B1-5605-414D-81E4-55A49D021E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227" y="296504"/>
          <a:ext cx="946692" cy="988254"/>
        </a:xfrm>
        <a:prstGeom prst="rect">
          <a:avLst/>
        </a:prstGeom>
      </xdr:spPr>
    </xdr:pic>
    <xdr:clientData/>
  </xdr:twoCellAnchor>
  <xdr:oneCellAnchor>
    <xdr:from>
      <xdr:col>17</xdr:col>
      <xdr:colOff>1223950</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3103AAFE-1B66-4075-885D-324FD43E071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200" y="0"/>
          <a:ext cx="646896" cy="677573"/>
        </a:xfrm>
        <a:prstGeom prst="rect">
          <a:avLst/>
        </a:prstGeom>
      </xdr:spPr>
    </xdr:pic>
    <xdr:clientData/>
  </xdr:oneCellAnchor>
  <xdr:twoCellAnchor>
    <xdr:from>
      <xdr:col>17</xdr:col>
      <xdr:colOff>1077424</xdr:colOff>
      <xdr:row>1</xdr:row>
      <xdr:rowOff>473774</xdr:rowOff>
    </xdr:from>
    <xdr:to>
      <xdr:col>18</xdr:col>
      <xdr:colOff>465103</xdr:colOff>
      <xdr:row>2</xdr:row>
      <xdr:rowOff>188024</xdr:rowOff>
    </xdr:to>
    <xdr:sp macro="" textlink="">
      <xdr:nvSpPr>
        <xdr:cNvPr id="7" name="TextBox 18">
          <a:extLst>
            <a:ext uri="{FF2B5EF4-FFF2-40B4-BE49-F238E27FC236}">
              <a16:creationId xmlns:a16="http://schemas.microsoft.com/office/drawing/2014/main" id="{2A546046-BB3B-47A1-BD81-A77992E982C9}"/>
            </a:ext>
          </a:extLst>
        </xdr:cNvPr>
        <xdr:cNvSpPr txBox="1"/>
      </xdr:nvSpPr>
      <xdr:spPr>
        <a:xfrm>
          <a:off x="17174674"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331752</xdr:colOff>
      <xdr:row>1</xdr:row>
      <xdr:rowOff>487381</xdr:rowOff>
    </xdr:from>
    <xdr:to>
      <xdr:col>18</xdr:col>
      <xdr:colOff>1335960</xdr:colOff>
      <xdr:row>2</xdr:row>
      <xdr:rowOff>232443</xdr:rowOff>
    </xdr:to>
    <xdr:sp macro="" textlink="">
      <xdr:nvSpPr>
        <xdr:cNvPr id="8" name="TextBox 19">
          <a:extLst>
            <a:ext uri="{FF2B5EF4-FFF2-40B4-BE49-F238E27FC236}">
              <a16:creationId xmlns:a16="http://schemas.microsoft.com/office/drawing/2014/main" id="{86DB9038-92F1-4283-B6F9-3033D92245D4}"/>
            </a:ext>
          </a:extLst>
        </xdr:cNvPr>
        <xdr:cNvSpPr txBox="1"/>
      </xdr:nvSpPr>
      <xdr:spPr>
        <a:xfrm>
          <a:off x="17962527"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307259</xdr:colOff>
      <xdr:row>1</xdr:row>
      <xdr:rowOff>476495</xdr:rowOff>
    </xdr:from>
    <xdr:to>
      <xdr:col>17</xdr:col>
      <xdr:colOff>1311467</xdr:colOff>
      <xdr:row>2</xdr:row>
      <xdr:rowOff>221557</xdr:rowOff>
    </xdr:to>
    <xdr:sp macro="" textlink="">
      <xdr:nvSpPr>
        <xdr:cNvPr id="9" name="TextBox 22">
          <a:extLst>
            <a:ext uri="{FF2B5EF4-FFF2-40B4-BE49-F238E27FC236}">
              <a16:creationId xmlns:a16="http://schemas.microsoft.com/office/drawing/2014/main" id="{74A2B5EA-CB70-44C8-9447-8957A535F5F1}"/>
            </a:ext>
          </a:extLst>
        </xdr:cNvPr>
        <xdr:cNvSpPr txBox="1"/>
      </xdr:nvSpPr>
      <xdr:spPr>
        <a:xfrm>
          <a:off x="16404509"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730443</xdr:colOff>
      <xdr:row>0</xdr:row>
      <xdr:rowOff>101773</xdr:rowOff>
    </xdr:from>
    <xdr:to>
      <xdr:col>18</xdr:col>
      <xdr:colOff>1111443</xdr:colOff>
      <xdr:row>1</xdr:row>
      <xdr:rowOff>446563</xdr:rowOff>
    </xdr:to>
    <xdr:sp macro="" textlink="">
      <xdr:nvSpPr>
        <xdr:cNvPr id="14" name="Isosceles Triangle 23">
          <a:hlinkClick xmlns:r="http://schemas.openxmlformats.org/officeDocument/2006/relationships" r:id="rId5"/>
          <a:extLst>
            <a:ext uri="{FF2B5EF4-FFF2-40B4-BE49-F238E27FC236}">
              <a16:creationId xmlns:a16="http://schemas.microsoft.com/office/drawing/2014/main" id="{912798D8-20C3-4395-886E-7D3FB407B122}"/>
            </a:ext>
          </a:extLst>
        </xdr:cNvPr>
        <xdr:cNvSpPr/>
      </xdr:nvSpPr>
      <xdr:spPr>
        <a:xfrm rot="5400000">
          <a:off x="18307885"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603278</xdr:colOff>
      <xdr:row>0</xdr:row>
      <xdr:rowOff>135420</xdr:rowOff>
    </xdr:from>
    <xdr:to>
      <xdr:col>17</xdr:col>
      <xdr:colOff>984278</xdr:colOff>
      <xdr:row>1</xdr:row>
      <xdr:rowOff>480210</xdr:rowOff>
    </xdr:to>
    <xdr:sp macro="" textlink="">
      <xdr:nvSpPr>
        <xdr:cNvPr id="13" name="Isosceles Triangle 25">
          <a:hlinkClick xmlns:r="http://schemas.openxmlformats.org/officeDocument/2006/relationships" r:id="rId6"/>
          <a:extLst>
            <a:ext uri="{FF2B5EF4-FFF2-40B4-BE49-F238E27FC236}">
              <a16:creationId xmlns:a16="http://schemas.microsoft.com/office/drawing/2014/main" id="{AED22C5C-A459-4A75-B5BC-5D5CCE687B46}"/>
            </a:ext>
          </a:extLst>
        </xdr:cNvPr>
        <xdr:cNvSpPr/>
      </xdr:nvSpPr>
      <xdr:spPr>
        <a:xfrm rot="16200000">
          <a:off x="16647195"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15363</xdr:colOff>
      <xdr:row>0</xdr:row>
      <xdr:rowOff>0</xdr:rowOff>
    </xdr:from>
    <xdr:to>
      <xdr:col>11</xdr:col>
      <xdr:colOff>385301</xdr:colOff>
      <xdr:row>1</xdr:row>
      <xdr:rowOff>154858</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1EA293CB-9ED0-4024-8B05-05D4DE7C864A}"/>
            </a:ext>
          </a:extLst>
        </xdr:cNvPr>
        <xdr:cNvSpPr/>
      </xdr:nvSpPr>
      <xdr:spPr>
        <a:xfrm>
          <a:off x="5377938" y="0"/>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222250</xdr:colOff>
      <xdr:row>1</xdr:row>
      <xdr:rowOff>444500</xdr:rowOff>
    </xdr:from>
    <xdr:to>
      <xdr:col>10</xdr:col>
      <xdr:colOff>1113299</xdr:colOff>
      <xdr:row>4</xdr:row>
      <xdr:rowOff>45856</xdr:rowOff>
    </xdr:to>
    <xdr:grpSp>
      <xdr:nvGrpSpPr>
        <xdr:cNvPr id="15" name="Agrupar 2">
          <a:hlinkClick xmlns:r="http://schemas.openxmlformats.org/officeDocument/2006/relationships" r:id="rId8"/>
          <a:extLst>
            <a:ext uri="{FF2B5EF4-FFF2-40B4-BE49-F238E27FC236}">
              <a16:creationId xmlns:a16="http://schemas.microsoft.com/office/drawing/2014/main" id="{A9C73A1D-580C-4EEE-A18F-C75307CBB96C}"/>
            </a:ext>
          </a:extLst>
        </xdr:cNvPr>
        <xdr:cNvGrpSpPr/>
      </xdr:nvGrpSpPr>
      <xdr:grpSpPr>
        <a:xfrm>
          <a:off x="5651500" y="596900"/>
          <a:ext cx="891049" cy="858656"/>
          <a:chOff x="9022773" y="21388"/>
          <a:chExt cx="1593272" cy="1762386"/>
        </a:xfrm>
        <a:effectLst>
          <a:outerShdw blurRad="63500" sx="102000" sy="102000" algn="ctr" rotWithShape="0">
            <a:prstClr val="black">
              <a:alpha val="40000"/>
            </a:prstClr>
          </a:outerShdw>
        </a:effectLst>
      </xdr:grpSpPr>
      <xdr:sp macro="" textlink="">
        <xdr:nvSpPr>
          <xdr:cNvPr id="16" name="Elipse 3">
            <a:extLst>
              <a:ext uri="{FF2B5EF4-FFF2-40B4-BE49-F238E27FC236}">
                <a16:creationId xmlns:a16="http://schemas.microsoft.com/office/drawing/2014/main" id="{628C8230-4525-E997-A3EF-843BC3C86889}"/>
              </a:ext>
            </a:extLst>
          </xdr:cNvPr>
          <xdr:cNvSpPr/>
        </xdr:nvSpPr>
        <xdr:spPr>
          <a:xfrm>
            <a:off x="9022773" y="21388"/>
            <a:ext cx="1593272" cy="176238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7" name="Imagem 4">
            <a:extLst>
              <a:ext uri="{FF2B5EF4-FFF2-40B4-BE49-F238E27FC236}">
                <a16:creationId xmlns:a16="http://schemas.microsoft.com/office/drawing/2014/main" id="{D599DD9A-600E-FC6E-58F4-EC1273DF7F19}"/>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142685" y="155864"/>
            <a:ext cx="1364857" cy="1569519"/>
          </a:xfrm>
          <a:prstGeom prst="rect">
            <a:avLst/>
          </a:prstGeom>
          <a:ln>
            <a:noFill/>
          </a:ln>
        </xdr:spPr>
      </xdr:pic>
    </xdr:grpSp>
    <xdr:clientData/>
  </xdr:twoCellAnchor>
</xdr:wsDr>
</file>

<file path=xl/drawings/drawing33.xml><?xml version="1.0" encoding="utf-8"?>
<xdr:wsDr xmlns:xdr="http://schemas.openxmlformats.org/drawingml/2006/spreadsheetDrawing" xmlns:a="http://schemas.openxmlformats.org/drawingml/2006/main">
  <xdr:twoCellAnchor editAs="oneCell">
    <xdr:from>
      <xdr:col>2</xdr:col>
      <xdr:colOff>92177</xdr:colOff>
      <xdr:row>1</xdr:row>
      <xdr:rowOff>153629</xdr:rowOff>
    </xdr:from>
    <xdr:to>
      <xdr:col>2</xdr:col>
      <xdr:colOff>1038869</xdr:colOff>
      <xdr:row>3</xdr:row>
      <xdr:rowOff>341783</xdr:rowOff>
    </xdr:to>
    <xdr:pic>
      <xdr:nvPicPr>
        <xdr:cNvPr id="2" name="Imagem 1">
          <a:extLst>
            <a:ext uri="{FF2B5EF4-FFF2-40B4-BE49-F238E27FC236}">
              <a16:creationId xmlns:a16="http://schemas.microsoft.com/office/drawing/2014/main" id="{935CA858-96FB-43D1-BB5D-B86DFACBB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227" y="296504"/>
          <a:ext cx="946692" cy="988254"/>
        </a:xfrm>
        <a:prstGeom prst="rect">
          <a:avLst/>
        </a:prstGeom>
      </xdr:spPr>
    </xdr:pic>
    <xdr:clientData/>
  </xdr:twoCellAnchor>
  <xdr:oneCellAnchor>
    <xdr:from>
      <xdr:col>17</xdr:col>
      <xdr:colOff>1223950</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40B742E4-AE1C-47CC-8020-24ACA3027D0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200" y="0"/>
          <a:ext cx="646896" cy="677573"/>
        </a:xfrm>
        <a:prstGeom prst="rect">
          <a:avLst/>
        </a:prstGeom>
      </xdr:spPr>
    </xdr:pic>
    <xdr:clientData/>
  </xdr:oneCellAnchor>
  <xdr:twoCellAnchor>
    <xdr:from>
      <xdr:col>17</xdr:col>
      <xdr:colOff>1077424</xdr:colOff>
      <xdr:row>1</xdr:row>
      <xdr:rowOff>473774</xdr:rowOff>
    </xdr:from>
    <xdr:to>
      <xdr:col>18</xdr:col>
      <xdr:colOff>465103</xdr:colOff>
      <xdr:row>2</xdr:row>
      <xdr:rowOff>188024</xdr:rowOff>
    </xdr:to>
    <xdr:sp macro="" textlink="">
      <xdr:nvSpPr>
        <xdr:cNvPr id="7" name="TextBox 18">
          <a:extLst>
            <a:ext uri="{FF2B5EF4-FFF2-40B4-BE49-F238E27FC236}">
              <a16:creationId xmlns:a16="http://schemas.microsoft.com/office/drawing/2014/main" id="{9992DC59-2E83-427D-92AE-62F77342E776}"/>
            </a:ext>
          </a:extLst>
        </xdr:cNvPr>
        <xdr:cNvSpPr txBox="1"/>
      </xdr:nvSpPr>
      <xdr:spPr>
        <a:xfrm>
          <a:off x="17174674"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331752</xdr:colOff>
      <xdr:row>1</xdr:row>
      <xdr:rowOff>487381</xdr:rowOff>
    </xdr:from>
    <xdr:to>
      <xdr:col>18</xdr:col>
      <xdr:colOff>1335960</xdr:colOff>
      <xdr:row>2</xdr:row>
      <xdr:rowOff>232443</xdr:rowOff>
    </xdr:to>
    <xdr:sp macro="" textlink="">
      <xdr:nvSpPr>
        <xdr:cNvPr id="8" name="TextBox 19">
          <a:extLst>
            <a:ext uri="{FF2B5EF4-FFF2-40B4-BE49-F238E27FC236}">
              <a16:creationId xmlns:a16="http://schemas.microsoft.com/office/drawing/2014/main" id="{6855A77B-9B6C-47E2-B5F0-AE68BBEC75D8}"/>
            </a:ext>
          </a:extLst>
        </xdr:cNvPr>
        <xdr:cNvSpPr txBox="1"/>
      </xdr:nvSpPr>
      <xdr:spPr>
        <a:xfrm>
          <a:off x="17962527"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307259</xdr:colOff>
      <xdr:row>1</xdr:row>
      <xdr:rowOff>476495</xdr:rowOff>
    </xdr:from>
    <xdr:to>
      <xdr:col>17</xdr:col>
      <xdr:colOff>1311467</xdr:colOff>
      <xdr:row>2</xdr:row>
      <xdr:rowOff>221557</xdr:rowOff>
    </xdr:to>
    <xdr:sp macro="" textlink="">
      <xdr:nvSpPr>
        <xdr:cNvPr id="9" name="TextBox 22">
          <a:extLst>
            <a:ext uri="{FF2B5EF4-FFF2-40B4-BE49-F238E27FC236}">
              <a16:creationId xmlns:a16="http://schemas.microsoft.com/office/drawing/2014/main" id="{A57CA481-FC72-41C3-9B65-88AA41DD8DA7}"/>
            </a:ext>
          </a:extLst>
        </xdr:cNvPr>
        <xdr:cNvSpPr txBox="1"/>
      </xdr:nvSpPr>
      <xdr:spPr>
        <a:xfrm>
          <a:off x="16404509"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730443</xdr:colOff>
      <xdr:row>0</xdr:row>
      <xdr:rowOff>101773</xdr:rowOff>
    </xdr:from>
    <xdr:to>
      <xdr:col>18</xdr:col>
      <xdr:colOff>1111443</xdr:colOff>
      <xdr:row>1</xdr:row>
      <xdr:rowOff>446563</xdr:rowOff>
    </xdr:to>
    <xdr:sp macro="" textlink="">
      <xdr:nvSpPr>
        <xdr:cNvPr id="14" name="Isosceles Triangle 23">
          <a:hlinkClick xmlns:r="http://schemas.openxmlformats.org/officeDocument/2006/relationships" r:id="rId5"/>
          <a:extLst>
            <a:ext uri="{FF2B5EF4-FFF2-40B4-BE49-F238E27FC236}">
              <a16:creationId xmlns:a16="http://schemas.microsoft.com/office/drawing/2014/main" id="{B22C2112-5334-407C-9760-DAD04F559906}"/>
            </a:ext>
          </a:extLst>
        </xdr:cNvPr>
        <xdr:cNvSpPr/>
      </xdr:nvSpPr>
      <xdr:spPr>
        <a:xfrm rot="5400000">
          <a:off x="18307885"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603278</xdr:colOff>
      <xdr:row>0</xdr:row>
      <xdr:rowOff>135420</xdr:rowOff>
    </xdr:from>
    <xdr:to>
      <xdr:col>17</xdr:col>
      <xdr:colOff>984278</xdr:colOff>
      <xdr:row>1</xdr:row>
      <xdr:rowOff>480210</xdr:rowOff>
    </xdr:to>
    <xdr:sp macro="" textlink="">
      <xdr:nvSpPr>
        <xdr:cNvPr id="13" name="Isosceles Triangle 25">
          <a:hlinkClick xmlns:r="http://schemas.openxmlformats.org/officeDocument/2006/relationships" r:id="rId6"/>
          <a:extLst>
            <a:ext uri="{FF2B5EF4-FFF2-40B4-BE49-F238E27FC236}">
              <a16:creationId xmlns:a16="http://schemas.microsoft.com/office/drawing/2014/main" id="{45268576-2C5C-4AC7-937D-52FE9A649268}"/>
            </a:ext>
          </a:extLst>
        </xdr:cNvPr>
        <xdr:cNvSpPr/>
      </xdr:nvSpPr>
      <xdr:spPr>
        <a:xfrm rot="16200000">
          <a:off x="16647195"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15363</xdr:colOff>
      <xdr:row>0</xdr:row>
      <xdr:rowOff>0</xdr:rowOff>
    </xdr:from>
    <xdr:to>
      <xdr:col>11</xdr:col>
      <xdr:colOff>385301</xdr:colOff>
      <xdr:row>1</xdr:row>
      <xdr:rowOff>154858</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3447D6FF-3F43-46C8-9E33-23B2BC634474}"/>
            </a:ext>
          </a:extLst>
        </xdr:cNvPr>
        <xdr:cNvSpPr/>
      </xdr:nvSpPr>
      <xdr:spPr>
        <a:xfrm>
          <a:off x="5377938" y="0"/>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254000</xdr:colOff>
      <xdr:row>1</xdr:row>
      <xdr:rowOff>476250</xdr:rowOff>
    </xdr:from>
    <xdr:to>
      <xdr:col>10</xdr:col>
      <xdr:colOff>1145049</xdr:colOff>
      <xdr:row>4</xdr:row>
      <xdr:rowOff>77606</xdr:rowOff>
    </xdr:to>
    <xdr:grpSp>
      <xdr:nvGrpSpPr>
        <xdr:cNvPr id="15" name="Agrupar 2">
          <a:hlinkClick xmlns:r="http://schemas.openxmlformats.org/officeDocument/2006/relationships" r:id="rId8"/>
          <a:extLst>
            <a:ext uri="{FF2B5EF4-FFF2-40B4-BE49-F238E27FC236}">
              <a16:creationId xmlns:a16="http://schemas.microsoft.com/office/drawing/2014/main" id="{17A7D4F6-912E-4A3D-A10A-994E59B183B5}"/>
            </a:ext>
          </a:extLst>
        </xdr:cNvPr>
        <xdr:cNvGrpSpPr/>
      </xdr:nvGrpSpPr>
      <xdr:grpSpPr>
        <a:xfrm>
          <a:off x="5683250" y="628650"/>
          <a:ext cx="891049" cy="858656"/>
          <a:chOff x="9022773" y="21388"/>
          <a:chExt cx="1593272" cy="1762386"/>
        </a:xfrm>
        <a:effectLst>
          <a:outerShdw blurRad="63500" sx="102000" sy="102000" algn="ctr" rotWithShape="0">
            <a:prstClr val="black">
              <a:alpha val="40000"/>
            </a:prstClr>
          </a:outerShdw>
        </a:effectLst>
      </xdr:grpSpPr>
      <xdr:sp macro="" textlink="">
        <xdr:nvSpPr>
          <xdr:cNvPr id="16" name="Elipse 3">
            <a:extLst>
              <a:ext uri="{FF2B5EF4-FFF2-40B4-BE49-F238E27FC236}">
                <a16:creationId xmlns:a16="http://schemas.microsoft.com/office/drawing/2014/main" id="{2E11C54E-F43D-5646-543C-DE7F94E21989}"/>
              </a:ext>
            </a:extLst>
          </xdr:cNvPr>
          <xdr:cNvSpPr/>
        </xdr:nvSpPr>
        <xdr:spPr>
          <a:xfrm>
            <a:off x="9022773" y="21388"/>
            <a:ext cx="1593272" cy="176238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7" name="Imagem 4">
            <a:extLst>
              <a:ext uri="{FF2B5EF4-FFF2-40B4-BE49-F238E27FC236}">
                <a16:creationId xmlns:a16="http://schemas.microsoft.com/office/drawing/2014/main" id="{687FF40D-A8E4-93F4-BADE-741C9B1005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142685" y="155864"/>
            <a:ext cx="1364857" cy="1569519"/>
          </a:xfrm>
          <a:prstGeom prst="rect">
            <a:avLst/>
          </a:prstGeom>
          <a:ln>
            <a:noFill/>
          </a:ln>
        </xdr:spPr>
      </xdr:pic>
    </xdr:grpSp>
    <xdr:clientData/>
  </xdr:twoCellAnchor>
</xdr:wsDr>
</file>

<file path=xl/drawings/drawing34.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6F42653D-C092-401D-8F53-708FF39C39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8427" y="215080"/>
          <a:ext cx="946692" cy="987025"/>
        </a:xfrm>
        <a:prstGeom prst="rect">
          <a:avLst/>
        </a:prstGeom>
      </xdr:spPr>
    </xdr:pic>
    <xdr:clientData/>
  </xdr:twoCellAnchor>
  <xdr:twoCellAnchor>
    <xdr:from>
      <xdr:col>10</xdr:col>
      <xdr:colOff>168993</xdr:colOff>
      <xdr:row>1</xdr:row>
      <xdr:rowOff>399435</xdr:rowOff>
    </xdr:from>
    <xdr:to>
      <xdr:col>10</xdr:col>
      <xdr:colOff>1152218</xdr:colOff>
      <xdr:row>4</xdr:row>
      <xdr:rowOff>46368</xdr:rowOff>
    </xdr:to>
    <xdr:grpSp>
      <xdr:nvGrpSpPr>
        <xdr:cNvPr id="6" name="Agrupar 5">
          <a:hlinkClick xmlns:r="http://schemas.openxmlformats.org/officeDocument/2006/relationships" r:id="rId2"/>
          <a:extLst>
            <a:ext uri="{FF2B5EF4-FFF2-40B4-BE49-F238E27FC236}">
              <a16:creationId xmlns:a16="http://schemas.microsoft.com/office/drawing/2014/main" id="{094AA9E7-F1B9-4E19-AA11-AB5787BCD859}"/>
            </a:ext>
          </a:extLst>
        </xdr:cNvPr>
        <xdr:cNvGrpSpPr/>
      </xdr:nvGrpSpPr>
      <xdr:grpSpPr>
        <a:xfrm>
          <a:off x="5598243" y="551835"/>
          <a:ext cx="983225" cy="904233"/>
          <a:chOff x="4970318" y="190500"/>
          <a:chExt cx="1143001" cy="1091045"/>
        </a:xfrm>
      </xdr:grpSpPr>
      <xdr:sp macro="" textlink="">
        <xdr:nvSpPr>
          <xdr:cNvPr id="7" name="Elipse 6">
            <a:extLst>
              <a:ext uri="{FF2B5EF4-FFF2-40B4-BE49-F238E27FC236}">
                <a16:creationId xmlns:a16="http://schemas.microsoft.com/office/drawing/2014/main" id="{1C27BC77-7220-E7A4-FD6E-B0993194D65A}"/>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8" name="Imagem 7">
            <a:extLst>
              <a:ext uri="{FF2B5EF4-FFF2-40B4-BE49-F238E27FC236}">
                <a16:creationId xmlns:a16="http://schemas.microsoft.com/office/drawing/2014/main" id="{553792CC-5590-2D6B-7E27-2C6B45F0BEC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oneCellAnchor>
    <xdr:from>
      <xdr:col>17</xdr:col>
      <xdr:colOff>1223949</xdr:colOff>
      <xdr:row>0</xdr:row>
      <xdr:rowOff>0</xdr:rowOff>
    </xdr:from>
    <xdr:ext cx="646896" cy="677573"/>
    <xdr:pic>
      <xdr:nvPicPr>
        <xdr:cNvPr id="9" name="Gráfico 8" descr="Início com preenchimento sólido">
          <a:hlinkClick xmlns:r="http://schemas.openxmlformats.org/officeDocument/2006/relationships" r:id="rId4"/>
          <a:extLst>
            <a:ext uri="{FF2B5EF4-FFF2-40B4-BE49-F238E27FC236}">
              <a16:creationId xmlns:a16="http://schemas.microsoft.com/office/drawing/2014/main" id="{8F9491FF-F51E-422E-9025-0B17EBEC0A3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7339634"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10" name="TextBox 18">
          <a:extLst>
            <a:ext uri="{FF2B5EF4-FFF2-40B4-BE49-F238E27FC236}">
              <a16:creationId xmlns:a16="http://schemas.microsoft.com/office/drawing/2014/main" id="{82A47C4D-C9B8-4A55-81D1-FA2113EF0998}"/>
            </a:ext>
          </a:extLst>
        </xdr:cNvPr>
        <xdr:cNvSpPr txBox="1"/>
      </xdr:nvSpPr>
      <xdr:spPr>
        <a:xfrm>
          <a:off x="17193108" y="612040"/>
          <a:ext cx="923970" cy="267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11" name="TextBox 19">
          <a:extLst>
            <a:ext uri="{FF2B5EF4-FFF2-40B4-BE49-F238E27FC236}">
              <a16:creationId xmlns:a16="http://schemas.microsoft.com/office/drawing/2014/main" id="{B04EBE92-52F3-47F1-B546-E258491F5DD3}"/>
            </a:ext>
          </a:extLst>
        </xdr:cNvPr>
        <xdr:cNvSpPr txBox="1"/>
      </xdr:nvSpPr>
      <xdr:spPr>
        <a:xfrm>
          <a:off x="17983727" y="625647"/>
          <a:ext cx="1004208" cy="29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12" name="TextBox 22">
          <a:extLst>
            <a:ext uri="{FF2B5EF4-FFF2-40B4-BE49-F238E27FC236}">
              <a16:creationId xmlns:a16="http://schemas.microsoft.com/office/drawing/2014/main" id="{A3DB67BD-8137-4F19-8E57-79F3FB435798}"/>
            </a:ext>
          </a:extLst>
        </xdr:cNvPr>
        <xdr:cNvSpPr txBox="1"/>
      </xdr:nvSpPr>
      <xdr:spPr>
        <a:xfrm>
          <a:off x="16422943" y="614761"/>
          <a:ext cx="1004208" cy="298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3" name="Isosceles Triangle 23">
          <a:hlinkClick xmlns:r="http://schemas.openxmlformats.org/officeDocument/2006/relationships" r:id="rId7"/>
          <a:extLst>
            <a:ext uri="{FF2B5EF4-FFF2-40B4-BE49-F238E27FC236}">
              <a16:creationId xmlns:a16="http://schemas.microsoft.com/office/drawing/2014/main" id="{63CA2EE2-4608-48B9-8ADC-DF605AB8E476}"/>
            </a:ext>
          </a:extLst>
        </xdr:cNvPr>
        <xdr:cNvSpPr/>
      </xdr:nvSpPr>
      <xdr:spPr>
        <a:xfrm rot="5400000">
          <a:off x="18331390" y="152801"/>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4" name="Isosceles Triangle 25">
          <a:hlinkClick xmlns:r="http://schemas.openxmlformats.org/officeDocument/2006/relationships" r:id="rId8"/>
          <a:extLst>
            <a:ext uri="{FF2B5EF4-FFF2-40B4-BE49-F238E27FC236}">
              <a16:creationId xmlns:a16="http://schemas.microsoft.com/office/drawing/2014/main" id="{F94EDE8A-898E-42AE-BD7E-7A1780482D6F}"/>
            </a:ext>
          </a:extLst>
        </xdr:cNvPr>
        <xdr:cNvSpPr/>
      </xdr:nvSpPr>
      <xdr:spPr>
        <a:xfrm rot="16200000">
          <a:off x="16667934" y="186448"/>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46089</xdr:colOff>
      <xdr:row>0</xdr:row>
      <xdr:rowOff>46089</xdr:rowOff>
    </xdr:from>
    <xdr:to>
      <xdr:col>11</xdr:col>
      <xdr:colOff>416027</xdr:colOff>
      <xdr:row>1</xdr:row>
      <xdr:rowOff>200947</xdr:rowOff>
    </xdr:to>
    <xdr:sp macro="" textlink="">
      <xdr:nvSpPr>
        <xdr:cNvPr id="16" name="Retângulo 15">
          <a:hlinkClick xmlns:r="http://schemas.openxmlformats.org/officeDocument/2006/relationships" r:id="rId9"/>
          <a:extLst>
            <a:ext uri="{FF2B5EF4-FFF2-40B4-BE49-F238E27FC236}">
              <a16:creationId xmlns:a16="http://schemas.microsoft.com/office/drawing/2014/main" id="{071C0033-E673-4DB2-BF23-72826FDBEC49}"/>
            </a:ext>
          </a:extLst>
        </xdr:cNvPr>
        <xdr:cNvSpPr/>
      </xdr:nvSpPr>
      <xdr:spPr>
        <a:xfrm>
          <a:off x="5407742" y="46089"/>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89CBAA97-65F2-4024-8879-D12DBA7844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7AB401CD-0279-47C1-9C3B-69D6B427FE5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D34553A7-C884-44F7-91E8-8E7F51515151}"/>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15669D88-6431-41D4-9746-013115956175}"/>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578A9751-D9F0-46C2-AB39-3CA64F5D2F69}"/>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22CABBBA-9916-4BD1-8AAD-58ACC9E1D982}"/>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3" name="Isosceles Triangle 25">
          <a:hlinkClick xmlns:r="http://schemas.openxmlformats.org/officeDocument/2006/relationships" r:id="rId6"/>
          <a:extLst>
            <a:ext uri="{FF2B5EF4-FFF2-40B4-BE49-F238E27FC236}">
              <a16:creationId xmlns:a16="http://schemas.microsoft.com/office/drawing/2014/main" id="{9E5A558E-3094-4F04-8373-6CAA9B297202}"/>
            </a:ext>
          </a:extLst>
        </xdr:cNvPr>
        <xdr:cNvSpPr/>
      </xdr:nvSpPr>
      <xdr:spPr>
        <a:xfrm rot="16200000">
          <a:off x="16667934" y="186448"/>
          <a:ext cx="483056" cy="381000"/>
        </a:xfrm>
        <a:prstGeom prst="triangle">
          <a:avLst>
            <a:gd name="adj" fmla="val 50000"/>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46089</xdr:colOff>
      <xdr:row>0</xdr:row>
      <xdr:rowOff>46089</xdr:rowOff>
    </xdr:from>
    <xdr:to>
      <xdr:col>11</xdr:col>
      <xdr:colOff>416027</xdr:colOff>
      <xdr:row>1</xdr:row>
      <xdr:rowOff>200947</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35BDD25C-3254-44E3-B049-AA881916F9B4}"/>
            </a:ext>
          </a:extLst>
        </xdr:cNvPr>
        <xdr:cNvSpPr/>
      </xdr:nvSpPr>
      <xdr:spPr>
        <a:xfrm>
          <a:off x="5408664" y="46089"/>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222250</xdr:colOff>
      <xdr:row>1</xdr:row>
      <xdr:rowOff>396875</xdr:rowOff>
    </xdr:from>
    <xdr:to>
      <xdr:col>10</xdr:col>
      <xdr:colOff>1205475</xdr:colOff>
      <xdr:row>4</xdr:row>
      <xdr:rowOff>43808</xdr:rowOff>
    </xdr:to>
    <xdr:grpSp>
      <xdr:nvGrpSpPr>
        <xdr:cNvPr id="17" name="Agrupar 5">
          <a:hlinkClick xmlns:r="http://schemas.openxmlformats.org/officeDocument/2006/relationships" r:id="rId8"/>
          <a:extLst>
            <a:ext uri="{FF2B5EF4-FFF2-40B4-BE49-F238E27FC236}">
              <a16:creationId xmlns:a16="http://schemas.microsoft.com/office/drawing/2014/main" id="{72A6636E-8559-4DE1-B95C-7029879910C4}"/>
            </a:ext>
          </a:extLst>
        </xdr:cNvPr>
        <xdr:cNvGrpSpPr/>
      </xdr:nvGrpSpPr>
      <xdr:grpSpPr>
        <a:xfrm>
          <a:off x="5651500" y="549275"/>
          <a:ext cx="983225" cy="904233"/>
          <a:chOff x="4970318" y="190500"/>
          <a:chExt cx="1143001" cy="1091045"/>
        </a:xfrm>
      </xdr:grpSpPr>
      <xdr:sp macro="" textlink="">
        <xdr:nvSpPr>
          <xdr:cNvPr id="18" name="Elipse 6">
            <a:extLst>
              <a:ext uri="{FF2B5EF4-FFF2-40B4-BE49-F238E27FC236}">
                <a16:creationId xmlns:a16="http://schemas.microsoft.com/office/drawing/2014/main" id="{C434CACF-5B51-BF6E-4CDC-1FD66E90614F}"/>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7">
            <a:extLst>
              <a:ext uri="{FF2B5EF4-FFF2-40B4-BE49-F238E27FC236}">
                <a16:creationId xmlns:a16="http://schemas.microsoft.com/office/drawing/2014/main" id="{F478658C-FD30-94E3-2750-B73967593327}"/>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wsDr>
</file>

<file path=xl/drawings/drawing36.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CA115C61-18A7-4D92-9BB9-F6566745FE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55ADD65D-921C-41F9-B001-B1C7A2D0031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040FDA12-A30D-453F-895C-790B372A4865}"/>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BD93540C-0B49-434C-A0A1-5BDE0889613C}"/>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CBE613A6-D188-4BF8-BAA5-9157CED0E54A}"/>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9C9DD91F-9038-4D88-8803-268223F52A82}"/>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4" name="Isosceles Triangle 25">
          <a:hlinkClick xmlns:r="http://schemas.openxmlformats.org/officeDocument/2006/relationships" r:id="rId6"/>
          <a:extLst>
            <a:ext uri="{FF2B5EF4-FFF2-40B4-BE49-F238E27FC236}">
              <a16:creationId xmlns:a16="http://schemas.microsoft.com/office/drawing/2014/main" id="{CDF745F8-F085-4910-B004-DEA2830DE50C}"/>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46089</xdr:colOff>
      <xdr:row>0</xdr:row>
      <xdr:rowOff>46089</xdr:rowOff>
    </xdr:from>
    <xdr:to>
      <xdr:col>11</xdr:col>
      <xdr:colOff>416027</xdr:colOff>
      <xdr:row>1</xdr:row>
      <xdr:rowOff>200947</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C361A49C-CAB1-43E6-8759-E05F224D40FF}"/>
            </a:ext>
          </a:extLst>
        </xdr:cNvPr>
        <xdr:cNvSpPr/>
      </xdr:nvSpPr>
      <xdr:spPr>
        <a:xfrm>
          <a:off x="5408664" y="46089"/>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254000</xdr:colOff>
      <xdr:row>1</xdr:row>
      <xdr:rowOff>428625</xdr:rowOff>
    </xdr:from>
    <xdr:to>
      <xdr:col>10</xdr:col>
      <xdr:colOff>1237225</xdr:colOff>
      <xdr:row>4</xdr:row>
      <xdr:rowOff>75558</xdr:rowOff>
    </xdr:to>
    <xdr:grpSp>
      <xdr:nvGrpSpPr>
        <xdr:cNvPr id="16" name="Agrupar 5">
          <a:hlinkClick xmlns:r="http://schemas.openxmlformats.org/officeDocument/2006/relationships" r:id="rId8"/>
          <a:extLst>
            <a:ext uri="{FF2B5EF4-FFF2-40B4-BE49-F238E27FC236}">
              <a16:creationId xmlns:a16="http://schemas.microsoft.com/office/drawing/2014/main" id="{91D4A83E-6DDE-43E1-B4B4-6665E231FE8A}"/>
            </a:ext>
          </a:extLst>
        </xdr:cNvPr>
        <xdr:cNvGrpSpPr/>
      </xdr:nvGrpSpPr>
      <xdr:grpSpPr>
        <a:xfrm>
          <a:off x="5683250" y="581025"/>
          <a:ext cx="983225" cy="904233"/>
          <a:chOff x="4970318" y="190500"/>
          <a:chExt cx="1143001" cy="1091045"/>
        </a:xfrm>
      </xdr:grpSpPr>
      <xdr:sp macro="" textlink="">
        <xdr:nvSpPr>
          <xdr:cNvPr id="17" name="Elipse 6">
            <a:extLst>
              <a:ext uri="{FF2B5EF4-FFF2-40B4-BE49-F238E27FC236}">
                <a16:creationId xmlns:a16="http://schemas.microsoft.com/office/drawing/2014/main" id="{CDD7806D-A722-7648-6E41-27EDF85A0B05}"/>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8" name="Imagem 7">
            <a:extLst>
              <a:ext uri="{FF2B5EF4-FFF2-40B4-BE49-F238E27FC236}">
                <a16:creationId xmlns:a16="http://schemas.microsoft.com/office/drawing/2014/main" id="{ECDDD704-7041-CBEF-BD12-8D2AE7931B36}"/>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wsDr>
</file>

<file path=xl/drawings/drawing37.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0D682510-2B3C-4825-9D3F-BF2EC3EAB9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B3A3AB41-DC21-4DC3-9323-26A44351A26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CDF732F1-1E96-49FA-ACD0-9A4012943D62}"/>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9290E728-BD15-4A45-8E44-B05C0FFD1758}"/>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12471526-5566-4088-9877-034DAAB6416D}"/>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D6C2CDBC-5347-4BE3-886C-DEA14F29F1D2}"/>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3" name="Isosceles Triangle 25">
          <a:hlinkClick xmlns:r="http://schemas.openxmlformats.org/officeDocument/2006/relationships" r:id="rId6"/>
          <a:extLst>
            <a:ext uri="{FF2B5EF4-FFF2-40B4-BE49-F238E27FC236}">
              <a16:creationId xmlns:a16="http://schemas.microsoft.com/office/drawing/2014/main" id="{18AA4D58-4E42-4285-9C8F-88EC423F19B0}"/>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46089</xdr:colOff>
      <xdr:row>0</xdr:row>
      <xdr:rowOff>46089</xdr:rowOff>
    </xdr:from>
    <xdr:to>
      <xdr:col>11</xdr:col>
      <xdr:colOff>416027</xdr:colOff>
      <xdr:row>1</xdr:row>
      <xdr:rowOff>200947</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B3176BF5-F7B1-49AB-9842-EA8D26A21CF3}"/>
            </a:ext>
          </a:extLst>
        </xdr:cNvPr>
        <xdr:cNvSpPr/>
      </xdr:nvSpPr>
      <xdr:spPr>
        <a:xfrm>
          <a:off x="5408664" y="46089"/>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215081</xdr:colOff>
      <xdr:row>1</xdr:row>
      <xdr:rowOff>399436</xdr:rowOff>
    </xdr:from>
    <xdr:to>
      <xdr:col>10</xdr:col>
      <xdr:colOff>1198306</xdr:colOff>
      <xdr:row>4</xdr:row>
      <xdr:rowOff>56099</xdr:rowOff>
    </xdr:to>
    <xdr:grpSp>
      <xdr:nvGrpSpPr>
        <xdr:cNvPr id="16" name="Agrupar 5">
          <a:hlinkClick xmlns:r="http://schemas.openxmlformats.org/officeDocument/2006/relationships" r:id="rId8"/>
          <a:extLst>
            <a:ext uri="{FF2B5EF4-FFF2-40B4-BE49-F238E27FC236}">
              <a16:creationId xmlns:a16="http://schemas.microsoft.com/office/drawing/2014/main" id="{27490609-9DDE-48C2-8509-AD1A39283895}"/>
            </a:ext>
          </a:extLst>
        </xdr:cNvPr>
        <xdr:cNvGrpSpPr/>
      </xdr:nvGrpSpPr>
      <xdr:grpSpPr>
        <a:xfrm>
          <a:off x="5644331" y="551836"/>
          <a:ext cx="983225" cy="913963"/>
          <a:chOff x="4970318" y="190500"/>
          <a:chExt cx="1143001" cy="1091045"/>
        </a:xfrm>
      </xdr:grpSpPr>
      <xdr:sp macro="" textlink="">
        <xdr:nvSpPr>
          <xdr:cNvPr id="17" name="Elipse 6">
            <a:extLst>
              <a:ext uri="{FF2B5EF4-FFF2-40B4-BE49-F238E27FC236}">
                <a16:creationId xmlns:a16="http://schemas.microsoft.com/office/drawing/2014/main" id="{0ED43322-6AD8-2F04-11FF-70DC03217E4F}"/>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8" name="Imagem 7">
            <a:extLst>
              <a:ext uri="{FF2B5EF4-FFF2-40B4-BE49-F238E27FC236}">
                <a16:creationId xmlns:a16="http://schemas.microsoft.com/office/drawing/2014/main" id="{ADFF9B4C-7979-D15B-0559-8241593CD79B}"/>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wsDr>
</file>

<file path=xl/drawings/drawing38.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8885313F-A9B4-4B94-B5DC-DAB429E31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F630C0C3-5B70-4A65-8593-2B0FB42451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19A8BB8C-BC45-4FE4-8604-4709E0A5F698}"/>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2C0581C4-CA5A-4441-B800-F0DEB2E01FA0}"/>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BF47E1C9-1A57-4013-9ADA-A5A9F7908721}"/>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3CE967FF-0332-4F4B-BF1E-C55174F80D53}"/>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6" name="Isosceles Triangle 25">
          <a:hlinkClick xmlns:r="http://schemas.openxmlformats.org/officeDocument/2006/relationships" r:id="rId6"/>
          <a:extLst>
            <a:ext uri="{FF2B5EF4-FFF2-40B4-BE49-F238E27FC236}">
              <a16:creationId xmlns:a16="http://schemas.microsoft.com/office/drawing/2014/main" id="{876D5A87-8B3A-4F0A-9B77-EC5E1596E6B9}"/>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46089</xdr:colOff>
      <xdr:row>0</xdr:row>
      <xdr:rowOff>46089</xdr:rowOff>
    </xdr:from>
    <xdr:to>
      <xdr:col>11</xdr:col>
      <xdr:colOff>416027</xdr:colOff>
      <xdr:row>1</xdr:row>
      <xdr:rowOff>200947</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C51E92E6-3558-4C18-8903-DCEC6841EBED}"/>
            </a:ext>
          </a:extLst>
        </xdr:cNvPr>
        <xdr:cNvSpPr/>
      </xdr:nvSpPr>
      <xdr:spPr>
        <a:xfrm>
          <a:off x="5408664" y="46089"/>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168992</xdr:colOff>
      <xdr:row>1</xdr:row>
      <xdr:rowOff>430162</xdr:rowOff>
    </xdr:from>
    <xdr:to>
      <xdr:col>10</xdr:col>
      <xdr:colOff>1152217</xdr:colOff>
      <xdr:row>4</xdr:row>
      <xdr:rowOff>86825</xdr:rowOff>
    </xdr:to>
    <xdr:grpSp>
      <xdr:nvGrpSpPr>
        <xdr:cNvPr id="17" name="Agrupar 5">
          <a:hlinkClick xmlns:r="http://schemas.openxmlformats.org/officeDocument/2006/relationships" r:id="rId8"/>
          <a:extLst>
            <a:ext uri="{FF2B5EF4-FFF2-40B4-BE49-F238E27FC236}">
              <a16:creationId xmlns:a16="http://schemas.microsoft.com/office/drawing/2014/main" id="{CA8D33DE-28DD-45D5-B255-7275366D1B23}"/>
            </a:ext>
          </a:extLst>
        </xdr:cNvPr>
        <xdr:cNvGrpSpPr/>
      </xdr:nvGrpSpPr>
      <xdr:grpSpPr>
        <a:xfrm>
          <a:off x="5598242" y="582562"/>
          <a:ext cx="983225" cy="913963"/>
          <a:chOff x="4970318" y="190500"/>
          <a:chExt cx="1143001" cy="1091045"/>
        </a:xfrm>
      </xdr:grpSpPr>
      <xdr:sp macro="" textlink="">
        <xdr:nvSpPr>
          <xdr:cNvPr id="18" name="Elipse 6">
            <a:extLst>
              <a:ext uri="{FF2B5EF4-FFF2-40B4-BE49-F238E27FC236}">
                <a16:creationId xmlns:a16="http://schemas.microsoft.com/office/drawing/2014/main" id="{E35EF574-4715-6802-9B1E-1B2DD7BCE29A}"/>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7">
            <a:extLst>
              <a:ext uri="{FF2B5EF4-FFF2-40B4-BE49-F238E27FC236}">
                <a16:creationId xmlns:a16="http://schemas.microsoft.com/office/drawing/2014/main" id="{2E425D80-B4C5-E83E-5885-234AE24D0109}"/>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wsDr>
</file>

<file path=xl/drawings/drawing39.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085082B0-4618-429E-82BB-A4C330E0C3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2C6BC9CC-0870-47E5-AA38-CC74361D9B2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4F66D7D2-0B88-4456-9315-B8BBC1DBB0E0}"/>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733A13B3-107F-4946-9DD7-8BFE600835BC}"/>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2B25FEDA-581E-4E76-8750-AC5956F4CB7C}"/>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F63F47C3-16DF-4DE3-B103-759900D55B50}"/>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19" name="Isosceles Triangle 25">
          <a:hlinkClick xmlns:r="http://schemas.openxmlformats.org/officeDocument/2006/relationships" r:id="rId6"/>
          <a:extLst>
            <a:ext uri="{FF2B5EF4-FFF2-40B4-BE49-F238E27FC236}">
              <a16:creationId xmlns:a16="http://schemas.microsoft.com/office/drawing/2014/main" id="{90105468-5F5A-4858-B506-4960650F65B0}"/>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46089</xdr:colOff>
      <xdr:row>0</xdr:row>
      <xdr:rowOff>46089</xdr:rowOff>
    </xdr:from>
    <xdr:to>
      <xdr:col>11</xdr:col>
      <xdr:colOff>416027</xdr:colOff>
      <xdr:row>1</xdr:row>
      <xdr:rowOff>200947</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16377AEF-5892-4C48-AC8D-0F0E2CFE4ADE}"/>
            </a:ext>
          </a:extLst>
        </xdr:cNvPr>
        <xdr:cNvSpPr/>
      </xdr:nvSpPr>
      <xdr:spPr>
        <a:xfrm>
          <a:off x="5408664" y="46089"/>
          <a:ext cx="1903463" cy="297733"/>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INSTRUCÕES</a:t>
          </a:r>
        </a:p>
      </xdr:txBody>
    </xdr:sp>
    <xdr:clientData/>
  </xdr:twoCellAnchor>
  <xdr:twoCellAnchor>
    <xdr:from>
      <xdr:col>10</xdr:col>
      <xdr:colOff>222250</xdr:colOff>
      <xdr:row>1</xdr:row>
      <xdr:rowOff>444500</xdr:rowOff>
    </xdr:from>
    <xdr:to>
      <xdr:col>10</xdr:col>
      <xdr:colOff>1205475</xdr:colOff>
      <xdr:row>4</xdr:row>
      <xdr:rowOff>91433</xdr:rowOff>
    </xdr:to>
    <xdr:grpSp>
      <xdr:nvGrpSpPr>
        <xdr:cNvPr id="13" name="Agrupar 5">
          <a:hlinkClick xmlns:r="http://schemas.openxmlformats.org/officeDocument/2006/relationships" r:id="rId8"/>
          <a:extLst>
            <a:ext uri="{FF2B5EF4-FFF2-40B4-BE49-F238E27FC236}">
              <a16:creationId xmlns:a16="http://schemas.microsoft.com/office/drawing/2014/main" id="{2D71BCC4-8762-4051-B1CD-363522696927}"/>
            </a:ext>
          </a:extLst>
        </xdr:cNvPr>
        <xdr:cNvGrpSpPr/>
      </xdr:nvGrpSpPr>
      <xdr:grpSpPr>
        <a:xfrm>
          <a:off x="5651500" y="596900"/>
          <a:ext cx="983225" cy="904233"/>
          <a:chOff x="4970318" y="190500"/>
          <a:chExt cx="1143001" cy="1091045"/>
        </a:xfrm>
      </xdr:grpSpPr>
      <xdr:sp macro="" textlink="">
        <xdr:nvSpPr>
          <xdr:cNvPr id="14" name="Elipse 6">
            <a:extLst>
              <a:ext uri="{FF2B5EF4-FFF2-40B4-BE49-F238E27FC236}">
                <a16:creationId xmlns:a16="http://schemas.microsoft.com/office/drawing/2014/main" id="{0F1172D8-063B-0E75-C9B7-1A674AF9E8B1}"/>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7">
            <a:extLst>
              <a:ext uri="{FF2B5EF4-FFF2-40B4-BE49-F238E27FC236}">
                <a16:creationId xmlns:a16="http://schemas.microsoft.com/office/drawing/2014/main" id="{B97AD0A5-81D5-185B-851B-3E236D66DD29}"/>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155865</xdr:colOff>
      <xdr:row>0</xdr:row>
      <xdr:rowOff>51955</xdr:rowOff>
    </xdr:from>
    <xdr:to>
      <xdr:col>26</xdr:col>
      <xdr:colOff>1177637</xdr:colOff>
      <xdr:row>2</xdr:row>
      <xdr:rowOff>363682</xdr:rowOff>
    </xdr:to>
    <xdr:grpSp>
      <xdr:nvGrpSpPr>
        <xdr:cNvPr id="2" name="Agrupar 2">
          <a:extLst>
            <a:ext uri="{FF2B5EF4-FFF2-40B4-BE49-F238E27FC236}">
              <a16:creationId xmlns:a16="http://schemas.microsoft.com/office/drawing/2014/main" id="{08235976-9115-433A-B3AF-D825D02A9898}"/>
            </a:ext>
          </a:extLst>
        </xdr:cNvPr>
        <xdr:cNvGrpSpPr/>
      </xdr:nvGrpSpPr>
      <xdr:grpSpPr>
        <a:xfrm>
          <a:off x="12694229" y="51955"/>
          <a:ext cx="1021772" cy="1004454"/>
          <a:chOff x="21197455" y="95624"/>
          <a:chExt cx="1145098" cy="1203240"/>
        </a:xfrm>
      </xdr:grpSpPr>
      <xdr:pic>
        <xdr:nvPicPr>
          <xdr:cNvPr id="3" name="Gráfico 7" descr="Início com preenchimento sólido">
            <a:hlinkClick xmlns:r="http://schemas.openxmlformats.org/officeDocument/2006/relationships" r:id="rId1"/>
            <a:extLst>
              <a:ext uri="{FF2B5EF4-FFF2-40B4-BE49-F238E27FC236}">
                <a16:creationId xmlns:a16="http://schemas.microsoft.com/office/drawing/2014/main" id="{CC3F8A77-A201-C08F-8CD6-1D4AAC87E4B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 uri="{96DAC541-7B7A-43D3-8B79-37D633B846F1}">
                <asvg:svgBlip xmlns:asvg="http://schemas.microsoft.com/office/drawing/2016/SVG/main" r:embed="rId3"/>
              </a:ext>
            </a:extLst>
          </a:blip>
          <a:stretch>
            <a:fillRect/>
          </a:stretch>
        </xdr:blipFill>
        <xdr:spPr>
          <a:xfrm>
            <a:off x="21332579" y="95624"/>
            <a:ext cx="900752" cy="943467"/>
          </a:xfrm>
          <a:prstGeom prst="rect">
            <a:avLst/>
          </a:prstGeom>
        </xdr:spPr>
      </xdr:pic>
      <xdr:sp macro="" textlink="">
        <xdr:nvSpPr>
          <xdr:cNvPr id="4" name="TextBox 18">
            <a:extLst>
              <a:ext uri="{FF2B5EF4-FFF2-40B4-BE49-F238E27FC236}">
                <a16:creationId xmlns:a16="http://schemas.microsoft.com/office/drawing/2014/main" id="{391EE70A-7302-B8E9-F2CB-10C81BEE07C1}"/>
              </a:ext>
            </a:extLst>
          </xdr:cNvPr>
          <xdr:cNvSpPr txBox="1"/>
        </xdr:nvSpPr>
        <xdr:spPr>
          <a:xfrm>
            <a:off x="21197455" y="923546"/>
            <a:ext cx="1145098" cy="37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solidFill>
                  <a:schemeClr val="tx1">
                    <a:lumMod val="75000"/>
                    <a:lumOff val="25000"/>
                  </a:schemeClr>
                </a:solidFill>
                <a:latin typeface="Century Gothic" panose="020B0502020202020204" pitchFamily="34" charset="0"/>
              </a:rPr>
              <a:t>Inicio</a:t>
            </a:r>
          </a:p>
        </xdr:txBody>
      </xdr:sp>
    </xdr:grpSp>
    <xdr:clientData/>
  </xdr:twoCellAnchor>
  <xdr:twoCellAnchor editAs="oneCell">
    <xdr:from>
      <xdr:col>2</xdr:col>
      <xdr:colOff>204933</xdr:colOff>
      <xdr:row>1</xdr:row>
      <xdr:rowOff>70716</xdr:rowOff>
    </xdr:from>
    <xdr:to>
      <xdr:col>2</xdr:col>
      <xdr:colOff>1063625</xdr:colOff>
      <xdr:row>2</xdr:row>
      <xdr:rowOff>499449</xdr:rowOff>
    </xdr:to>
    <xdr:pic>
      <xdr:nvPicPr>
        <xdr:cNvPr id="5" name="Imagem 9">
          <a:extLst>
            <a:ext uri="{FF2B5EF4-FFF2-40B4-BE49-F238E27FC236}">
              <a16:creationId xmlns:a16="http://schemas.microsoft.com/office/drawing/2014/main" id="{8073D2F2-2A31-40B7-BE92-DE54CF5773AF}"/>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243158" y="213591"/>
          <a:ext cx="858692" cy="981183"/>
        </a:xfrm>
        <a:prstGeom prst="rect">
          <a:avLst/>
        </a:prstGeom>
      </xdr:spPr>
    </xdr:pic>
    <xdr:clientData/>
  </xdr:twoCellAnchor>
  <xdr:twoCellAnchor>
    <xdr:from>
      <xdr:col>26</xdr:col>
      <xdr:colOff>1095375</xdr:colOff>
      <xdr:row>0</xdr:row>
      <xdr:rowOff>95250</xdr:rowOff>
    </xdr:from>
    <xdr:to>
      <xdr:col>27</xdr:col>
      <xdr:colOff>1198531</xdr:colOff>
      <xdr:row>1</xdr:row>
      <xdr:rowOff>276225</xdr:rowOff>
    </xdr:to>
    <xdr:sp macro="" textlink="">
      <xdr:nvSpPr>
        <xdr:cNvPr id="6" name="Retângulo 5">
          <a:hlinkClick xmlns:r="http://schemas.openxmlformats.org/officeDocument/2006/relationships" r:id="rId5"/>
          <a:extLst>
            <a:ext uri="{FF2B5EF4-FFF2-40B4-BE49-F238E27FC236}">
              <a16:creationId xmlns:a16="http://schemas.microsoft.com/office/drawing/2014/main" id="{0E4885BA-65AD-4EEE-9AA7-66D82B47299F}"/>
            </a:ext>
          </a:extLst>
        </xdr:cNvPr>
        <xdr:cNvSpPr/>
      </xdr:nvSpPr>
      <xdr:spPr>
        <a:xfrm>
          <a:off x="19288125" y="95250"/>
          <a:ext cx="1436656" cy="323850"/>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Estratégia</a:t>
          </a:r>
        </a:p>
      </xdr:txBody>
    </xdr:sp>
    <xdr:clientData/>
  </xdr:twoCellAnchor>
  <xdr:twoCellAnchor>
    <xdr:from>
      <xdr:col>26</xdr:col>
      <xdr:colOff>1098551</xdr:colOff>
      <xdr:row>1</xdr:row>
      <xdr:rowOff>349250</xdr:rowOff>
    </xdr:from>
    <xdr:to>
      <xdr:col>27</xdr:col>
      <xdr:colOff>1192744</xdr:colOff>
      <xdr:row>2</xdr:row>
      <xdr:rowOff>117475</xdr:rowOff>
    </xdr:to>
    <xdr:sp macro="" textlink="">
      <xdr:nvSpPr>
        <xdr:cNvPr id="7" name="Retângulo 6">
          <a:hlinkClick xmlns:r="http://schemas.openxmlformats.org/officeDocument/2006/relationships" r:id="rId6"/>
          <a:extLst>
            <a:ext uri="{FF2B5EF4-FFF2-40B4-BE49-F238E27FC236}">
              <a16:creationId xmlns:a16="http://schemas.microsoft.com/office/drawing/2014/main" id="{A1FFCAC7-2267-4560-8423-CFF1893EA385}"/>
            </a:ext>
          </a:extLst>
        </xdr:cNvPr>
        <xdr:cNvSpPr/>
      </xdr:nvSpPr>
      <xdr:spPr>
        <a:xfrm>
          <a:off x="19291301" y="492125"/>
          <a:ext cx="1427693" cy="32067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Adquisición</a:t>
          </a:r>
        </a:p>
      </xdr:txBody>
    </xdr:sp>
    <xdr:clientData/>
  </xdr:twoCellAnchor>
  <xdr:twoCellAnchor>
    <xdr:from>
      <xdr:col>26</xdr:col>
      <xdr:colOff>1091127</xdr:colOff>
      <xdr:row>2</xdr:row>
      <xdr:rowOff>158750</xdr:rowOff>
    </xdr:from>
    <xdr:to>
      <xdr:col>27</xdr:col>
      <xdr:colOff>1190625</xdr:colOff>
      <xdr:row>2</xdr:row>
      <xdr:rowOff>412750</xdr:rowOff>
    </xdr:to>
    <xdr:sp macro="" textlink="">
      <xdr:nvSpPr>
        <xdr:cNvPr id="8" name="Retângulo 7">
          <a:hlinkClick xmlns:r="http://schemas.openxmlformats.org/officeDocument/2006/relationships" r:id="rId7"/>
          <a:extLst>
            <a:ext uri="{FF2B5EF4-FFF2-40B4-BE49-F238E27FC236}">
              <a16:creationId xmlns:a16="http://schemas.microsoft.com/office/drawing/2014/main" id="{12C80334-7369-4552-B6B4-A140A295C7DB}"/>
            </a:ext>
          </a:extLst>
        </xdr:cNvPr>
        <xdr:cNvSpPr/>
      </xdr:nvSpPr>
      <xdr:spPr>
        <a:xfrm>
          <a:off x="19283877" y="854075"/>
          <a:ext cx="1432998" cy="254000"/>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Control</a:t>
          </a:r>
        </a:p>
      </xdr:txBody>
    </xdr:sp>
    <xdr:clientData/>
  </xdr:twoCellAnchor>
  <xdr:twoCellAnchor>
    <xdr:from>
      <xdr:col>27</xdr:col>
      <xdr:colOff>1268386</xdr:colOff>
      <xdr:row>0</xdr:row>
      <xdr:rowOff>95250</xdr:rowOff>
    </xdr:from>
    <xdr:to>
      <xdr:col>29</xdr:col>
      <xdr:colOff>555625</xdr:colOff>
      <xdr:row>1</xdr:row>
      <xdr:rowOff>254000</xdr:rowOff>
    </xdr:to>
    <xdr:sp macro="" textlink="">
      <xdr:nvSpPr>
        <xdr:cNvPr id="9" name="Retângulo 8">
          <a:hlinkClick xmlns:r="http://schemas.openxmlformats.org/officeDocument/2006/relationships" r:id="rId8"/>
          <a:extLst>
            <a:ext uri="{FF2B5EF4-FFF2-40B4-BE49-F238E27FC236}">
              <a16:creationId xmlns:a16="http://schemas.microsoft.com/office/drawing/2014/main" id="{13592BE4-B88F-49C4-B7EB-B982B29E92C3}"/>
            </a:ext>
          </a:extLst>
        </xdr:cNvPr>
        <xdr:cNvSpPr/>
      </xdr:nvSpPr>
      <xdr:spPr>
        <a:xfrm>
          <a:off x="20794636" y="95250"/>
          <a:ext cx="1373214" cy="30162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Mercado</a:t>
          </a:r>
        </a:p>
      </xdr:txBody>
    </xdr:sp>
    <xdr:clientData/>
  </xdr:twoCellAnchor>
  <xdr:twoCellAnchor>
    <xdr:from>
      <xdr:col>27</xdr:col>
      <xdr:colOff>1269383</xdr:colOff>
      <xdr:row>1</xdr:row>
      <xdr:rowOff>349250</xdr:rowOff>
    </xdr:from>
    <xdr:to>
      <xdr:col>29</xdr:col>
      <xdr:colOff>534957</xdr:colOff>
      <xdr:row>2</xdr:row>
      <xdr:rowOff>117475</xdr:rowOff>
    </xdr:to>
    <xdr:sp macro="" textlink="">
      <xdr:nvSpPr>
        <xdr:cNvPr id="10" name="Retângulo 9">
          <a:hlinkClick xmlns:r="http://schemas.openxmlformats.org/officeDocument/2006/relationships" r:id="rId9"/>
          <a:extLst>
            <a:ext uri="{FF2B5EF4-FFF2-40B4-BE49-F238E27FC236}">
              <a16:creationId xmlns:a16="http://schemas.microsoft.com/office/drawing/2014/main" id="{19D091BA-0749-44D8-8858-B66C98930E42}"/>
            </a:ext>
          </a:extLst>
        </xdr:cNvPr>
        <xdr:cNvSpPr/>
      </xdr:nvSpPr>
      <xdr:spPr>
        <a:xfrm>
          <a:off x="20795633" y="492125"/>
          <a:ext cx="1351549" cy="32067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Mantenimiento</a:t>
          </a:r>
        </a:p>
      </xdr:txBody>
    </xdr:sp>
    <xdr:clientData/>
  </xdr:twoCellAnchor>
  <xdr:twoCellAnchor>
    <xdr:from>
      <xdr:col>27</xdr:col>
      <xdr:colOff>1260479</xdr:colOff>
      <xdr:row>2</xdr:row>
      <xdr:rowOff>158750</xdr:rowOff>
    </xdr:from>
    <xdr:to>
      <xdr:col>29</xdr:col>
      <xdr:colOff>539750</xdr:colOff>
      <xdr:row>2</xdr:row>
      <xdr:rowOff>412750</xdr:rowOff>
    </xdr:to>
    <xdr:sp macro="" textlink="">
      <xdr:nvSpPr>
        <xdr:cNvPr id="11" name="Retângulo 10">
          <a:hlinkClick xmlns:r="http://schemas.openxmlformats.org/officeDocument/2006/relationships" r:id="rId10"/>
          <a:extLst>
            <a:ext uri="{FF2B5EF4-FFF2-40B4-BE49-F238E27FC236}">
              <a16:creationId xmlns:a16="http://schemas.microsoft.com/office/drawing/2014/main" id="{D28F9890-E017-4C77-BF61-6CB82454DBE9}"/>
            </a:ext>
          </a:extLst>
        </xdr:cNvPr>
        <xdr:cNvSpPr/>
      </xdr:nvSpPr>
      <xdr:spPr>
        <a:xfrm>
          <a:off x="20786729" y="854075"/>
          <a:ext cx="1365246" cy="254000"/>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200" b="1">
              <a:solidFill>
                <a:sysClr val="windowText" lastClr="000000"/>
              </a:solidFill>
              <a:latin typeface="Century Gothic" panose="020B0502020202020204" pitchFamily="34" charset="0"/>
            </a:rPr>
            <a:t>Descarte</a:t>
          </a:r>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7D5A0FB2-B94F-46F3-BE90-37AF817172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744DB233-70B1-42A4-BBD8-5268901693E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EFD39A47-61B2-41F7-AF32-892B74A67AF1}"/>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6BDCFE97-CD0F-4C1C-9212-9B8512CEE34A}"/>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0C5E8389-5DD6-4188-9A5A-26E34503B274}"/>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9D591B11-AB0D-4A4C-BC12-4685B768E7C4}"/>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36" name="Isosceles Triangle 25">
          <a:hlinkClick xmlns:r="http://schemas.openxmlformats.org/officeDocument/2006/relationships" r:id="rId6"/>
          <a:extLst>
            <a:ext uri="{FF2B5EF4-FFF2-40B4-BE49-F238E27FC236}">
              <a16:creationId xmlns:a16="http://schemas.microsoft.com/office/drawing/2014/main" id="{A15DB1A9-62CE-4309-B3C8-55EE8846C66B}"/>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92178</xdr:colOff>
      <xdr:row>0</xdr:row>
      <xdr:rowOff>0</xdr:rowOff>
    </xdr:from>
    <xdr:to>
      <xdr:col>11</xdr:col>
      <xdr:colOff>462116</xdr:colOff>
      <xdr:row>1</xdr:row>
      <xdr:rowOff>154858</xdr:rowOff>
    </xdr:to>
    <xdr:sp macro="" textlink="">
      <xdr:nvSpPr>
        <xdr:cNvPr id="37" name="Retângulo 36">
          <a:hlinkClick xmlns:r="http://schemas.openxmlformats.org/officeDocument/2006/relationships" r:id="rId7"/>
          <a:extLst>
            <a:ext uri="{FF2B5EF4-FFF2-40B4-BE49-F238E27FC236}">
              <a16:creationId xmlns:a16="http://schemas.microsoft.com/office/drawing/2014/main" id="{F39B21BE-C096-469D-A033-CEEA5AE86CC6}"/>
            </a:ext>
          </a:extLst>
        </xdr:cNvPr>
        <xdr:cNvSpPr/>
      </xdr:nvSpPr>
      <xdr:spPr>
        <a:xfrm>
          <a:off x="5453831" y="0"/>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127000</xdr:colOff>
      <xdr:row>1</xdr:row>
      <xdr:rowOff>460375</xdr:rowOff>
    </xdr:from>
    <xdr:to>
      <xdr:col>10</xdr:col>
      <xdr:colOff>1110225</xdr:colOff>
      <xdr:row>4</xdr:row>
      <xdr:rowOff>107308</xdr:rowOff>
    </xdr:to>
    <xdr:grpSp>
      <xdr:nvGrpSpPr>
        <xdr:cNvPr id="13" name="Agrupar 5">
          <a:hlinkClick xmlns:r="http://schemas.openxmlformats.org/officeDocument/2006/relationships" r:id="rId8"/>
          <a:extLst>
            <a:ext uri="{FF2B5EF4-FFF2-40B4-BE49-F238E27FC236}">
              <a16:creationId xmlns:a16="http://schemas.microsoft.com/office/drawing/2014/main" id="{6941CA22-2588-4573-A863-E0F3B1A6658F}"/>
            </a:ext>
          </a:extLst>
        </xdr:cNvPr>
        <xdr:cNvGrpSpPr/>
      </xdr:nvGrpSpPr>
      <xdr:grpSpPr>
        <a:xfrm>
          <a:off x="5556250" y="612775"/>
          <a:ext cx="983225" cy="904233"/>
          <a:chOff x="4970318" y="190500"/>
          <a:chExt cx="1143001" cy="1091045"/>
        </a:xfrm>
      </xdr:grpSpPr>
      <xdr:sp macro="" textlink="">
        <xdr:nvSpPr>
          <xdr:cNvPr id="14" name="Elipse 6">
            <a:extLst>
              <a:ext uri="{FF2B5EF4-FFF2-40B4-BE49-F238E27FC236}">
                <a16:creationId xmlns:a16="http://schemas.microsoft.com/office/drawing/2014/main" id="{CBB4998A-A6A3-8B88-3ADD-EA0EE576C26C}"/>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7">
            <a:extLst>
              <a:ext uri="{FF2B5EF4-FFF2-40B4-BE49-F238E27FC236}">
                <a16:creationId xmlns:a16="http://schemas.microsoft.com/office/drawing/2014/main" id="{27BED412-4D33-136D-BB69-A1F531BB6F0C}"/>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wsDr>
</file>

<file path=xl/drawings/drawing41.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8FF4DC90-5FD0-4BE2-8CE1-F6A422B8A8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015050E1-8113-4D88-B68E-D42E2E46FE8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FFB99D50-EF8E-445C-B99B-B6DDF6802CEA}"/>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195F56B2-8E78-4552-8B09-30B7AD15B0A2}"/>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0A0F7270-B679-43A8-A7FC-1A79768E1C66}"/>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CDFF9AF0-B884-4C1F-8B8C-10BDAC1FEEF8}"/>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21" name="Isosceles Triangle 25">
          <a:hlinkClick xmlns:r="http://schemas.openxmlformats.org/officeDocument/2006/relationships" r:id="rId6"/>
          <a:extLst>
            <a:ext uri="{FF2B5EF4-FFF2-40B4-BE49-F238E27FC236}">
              <a16:creationId xmlns:a16="http://schemas.microsoft.com/office/drawing/2014/main" id="{082998CD-704F-4D04-AB4D-B4293015EEF0}"/>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163872</xdr:colOff>
      <xdr:row>1</xdr:row>
      <xdr:rowOff>427089</xdr:rowOff>
    </xdr:from>
    <xdr:to>
      <xdr:col>10</xdr:col>
      <xdr:colOff>1200354</xdr:colOff>
      <xdr:row>4</xdr:row>
      <xdr:rowOff>76070</xdr:rowOff>
    </xdr:to>
    <xdr:grpSp>
      <xdr:nvGrpSpPr>
        <xdr:cNvPr id="17" name="Agrupar 2">
          <a:hlinkClick xmlns:r="http://schemas.openxmlformats.org/officeDocument/2006/relationships" r:id="rId7"/>
          <a:extLst>
            <a:ext uri="{FF2B5EF4-FFF2-40B4-BE49-F238E27FC236}">
              <a16:creationId xmlns:a16="http://schemas.microsoft.com/office/drawing/2014/main" id="{53508390-1134-449E-AD5C-8E84BDBE9592}"/>
            </a:ext>
          </a:extLst>
        </xdr:cNvPr>
        <xdr:cNvGrpSpPr/>
      </xdr:nvGrpSpPr>
      <xdr:grpSpPr>
        <a:xfrm>
          <a:off x="5593122" y="579489"/>
          <a:ext cx="1036482" cy="906281"/>
          <a:chOff x="4970318" y="190500"/>
          <a:chExt cx="1143001" cy="1091045"/>
        </a:xfrm>
      </xdr:grpSpPr>
      <xdr:sp macro="" textlink="">
        <xdr:nvSpPr>
          <xdr:cNvPr id="18" name="Elipse 3">
            <a:extLst>
              <a:ext uri="{FF2B5EF4-FFF2-40B4-BE49-F238E27FC236}">
                <a16:creationId xmlns:a16="http://schemas.microsoft.com/office/drawing/2014/main" id="{14F72130-92F5-D6F8-AB54-C8AAE4FFE778}"/>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4">
            <a:extLst>
              <a:ext uri="{FF2B5EF4-FFF2-40B4-BE49-F238E27FC236}">
                <a16:creationId xmlns:a16="http://schemas.microsoft.com/office/drawing/2014/main" id="{9507D150-74F8-5AF1-F47A-1F681CEB5978}"/>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twoCellAnchor>
    <xdr:from>
      <xdr:col>10</xdr:col>
      <xdr:colOff>30726</xdr:colOff>
      <xdr:row>0</xdr:row>
      <xdr:rowOff>15363</xdr:rowOff>
    </xdr:from>
    <xdr:to>
      <xdr:col>11</xdr:col>
      <xdr:colOff>400664</xdr:colOff>
      <xdr:row>1</xdr:row>
      <xdr:rowOff>170221</xdr:rowOff>
    </xdr:to>
    <xdr:sp macro="" textlink="">
      <xdr:nvSpPr>
        <xdr:cNvPr id="22" name="Retângulo 21">
          <a:hlinkClick xmlns:r="http://schemas.openxmlformats.org/officeDocument/2006/relationships" r:id="rId9"/>
          <a:extLst>
            <a:ext uri="{FF2B5EF4-FFF2-40B4-BE49-F238E27FC236}">
              <a16:creationId xmlns:a16="http://schemas.microsoft.com/office/drawing/2014/main" id="{6C378283-8305-4EDC-89E2-0335CD160ACB}"/>
            </a:ext>
          </a:extLst>
        </xdr:cNvPr>
        <xdr:cNvSpPr/>
      </xdr:nvSpPr>
      <xdr:spPr>
        <a:xfrm>
          <a:off x="5392379" y="15363"/>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216DB0EC-4CFD-47CC-9624-A668291927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EC8719E4-86BA-43B0-ACA9-DFD38CA6B00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B69831A1-8276-4A2B-8F7B-53A6C537FCCE}"/>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CF85027B-AEBE-4C32-87F9-4BC16ACCB54A}"/>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DCDD4948-002B-4715-92DE-82D07CD11CFF}"/>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7132E97E-6A5A-48F0-869F-C5B52FB5565A}"/>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21" name="Isosceles Triangle 25">
          <a:hlinkClick xmlns:r="http://schemas.openxmlformats.org/officeDocument/2006/relationships" r:id="rId6"/>
          <a:extLst>
            <a:ext uri="{FF2B5EF4-FFF2-40B4-BE49-F238E27FC236}">
              <a16:creationId xmlns:a16="http://schemas.microsoft.com/office/drawing/2014/main" id="{51D0A782-B357-4A2C-AC07-822C2889C96B}"/>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133148</xdr:colOff>
      <xdr:row>1</xdr:row>
      <xdr:rowOff>442451</xdr:rowOff>
    </xdr:from>
    <xdr:to>
      <xdr:col>10</xdr:col>
      <xdr:colOff>1169630</xdr:colOff>
      <xdr:row>4</xdr:row>
      <xdr:rowOff>91432</xdr:rowOff>
    </xdr:to>
    <xdr:grpSp>
      <xdr:nvGrpSpPr>
        <xdr:cNvPr id="17" name="Agrupar 2">
          <a:hlinkClick xmlns:r="http://schemas.openxmlformats.org/officeDocument/2006/relationships" r:id="rId7"/>
          <a:extLst>
            <a:ext uri="{FF2B5EF4-FFF2-40B4-BE49-F238E27FC236}">
              <a16:creationId xmlns:a16="http://schemas.microsoft.com/office/drawing/2014/main" id="{E61184DF-677C-45D5-83FE-0338D04EF1A3}"/>
            </a:ext>
          </a:extLst>
        </xdr:cNvPr>
        <xdr:cNvGrpSpPr/>
      </xdr:nvGrpSpPr>
      <xdr:grpSpPr>
        <a:xfrm>
          <a:off x="5562398" y="594851"/>
          <a:ext cx="1036482" cy="906281"/>
          <a:chOff x="4970318" y="190500"/>
          <a:chExt cx="1143001" cy="1091045"/>
        </a:xfrm>
      </xdr:grpSpPr>
      <xdr:sp macro="" textlink="">
        <xdr:nvSpPr>
          <xdr:cNvPr id="18" name="Elipse 3">
            <a:extLst>
              <a:ext uri="{FF2B5EF4-FFF2-40B4-BE49-F238E27FC236}">
                <a16:creationId xmlns:a16="http://schemas.microsoft.com/office/drawing/2014/main" id="{00FED0FD-E7DC-CA5E-0042-0F25A1626DA6}"/>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4">
            <a:extLst>
              <a:ext uri="{FF2B5EF4-FFF2-40B4-BE49-F238E27FC236}">
                <a16:creationId xmlns:a16="http://schemas.microsoft.com/office/drawing/2014/main" id="{0D6FBA56-1647-BE13-1DA2-B810BCAE45CC}"/>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twoCellAnchor>
    <xdr:from>
      <xdr:col>10</xdr:col>
      <xdr:colOff>153630</xdr:colOff>
      <xdr:row>0</xdr:row>
      <xdr:rowOff>0</xdr:rowOff>
    </xdr:from>
    <xdr:to>
      <xdr:col>11</xdr:col>
      <xdr:colOff>523568</xdr:colOff>
      <xdr:row>1</xdr:row>
      <xdr:rowOff>154858</xdr:rowOff>
    </xdr:to>
    <xdr:sp macro="" textlink="">
      <xdr:nvSpPr>
        <xdr:cNvPr id="22" name="Retângulo 21">
          <a:hlinkClick xmlns:r="http://schemas.openxmlformats.org/officeDocument/2006/relationships" r:id="rId9"/>
          <a:extLst>
            <a:ext uri="{FF2B5EF4-FFF2-40B4-BE49-F238E27FC236}">
              <a16:creationId xmlns:a16="http://schemas.microsoft.com/office/drawing/2014/main" id="{9C5C819B-08E8-43EF-8DF6-D5ACFA2FAFE0}"/>
            </a:ext>
          </a:extLst>
        </xdr:cNvPr>
        <xdr:cNvSpPr/>
      </xdr:nvSpPr>
      <xdr:spPr>
        <a:xfrm>
          <a:off x="5515283" y="0"/>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B043D6B2-5B99-4CB9-A2C4-8A2A53F975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4E00940F-9028-44F3-B450-A00C4D1D1C1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C40505D2-C77F-463F-A4AA-D42E5684410B}"/>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987D5BC5-915D-4C6F-A007-BD5CA9C76E9F}"/>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30148C4F-111D-4FD1-B788-7680A6B51DBE}"/>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025054F2-DC2D-405E-8E93-BC40D06D485D}"/>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21" name="Isosceles Triangle 25">
          <a:hlinkClick xmlns:r="http://schemas.openxmlformats.org/officeDocument/2006/relationships" r:id="rId6"/>
          <a:extLst>
            <a:ext uri="{FF2B5EF4-FFF2-40B4-BE49-F238E27FC236}">
              <a16:creationId xmlns:a16="http://schemas.microsoft.com/office/drawing/2014/main" id="{FBBD0914-1E30-4F0F-A68A-CEB001FD420C}"/>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15875</xdr:colOff>
      <xdr:row>1</xdr:row>
      <xdr:rowOff>0</xdr:rowOff>
    </xdr:from>
    <xdr:to>
      <xdr:col>11</xdr:col>
      <xdr:colOff>385813</xdr:colOff>
      <xdr:row>1</xdr:row>
      <xdr:rowOff>293124</xdr:rowOff>
    </xdr:to>
    <xdr:sp macro="" textlink="">
      <xdr:nvSpPr>
        <xdr:cNvPr id="22" name="Retângulo 21">
          <a:hlinkClick xmlns:r="http://schemas.openxmlformats.org/officeDocument/2006/relationships" r:id="rId7"/>
          <a:extLst>
            <a:ext uri="{FF2B5EF4-FFF2-40B4-BE49-F238E27FC236}">
              <a16:creationId xmlns:a16="http://schemas.microsoft.com/office/drawing/2014/main" id="{E0B07928-B5E8-4B31-B763-120825929972}"/>
            </a:ext>
          </a:extLst>
        </xdr:cNvPr>
        <xdr:cNvSpPr/>
      </xdr:nvSpPr>
      <xdr:spPr>
        <a:xfrm>
          <a:off x="5381625" y="142875"/>
          <a:ext cx="190981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269875</xdr:colOff>
      <xdr:row>1</xdr:row>
      <xdr:rowOff>428625</xdr:rowOff>
    </xdr:from>
    <xdr:to>
      <xdr:col>10</xdr:col>
      <xdr:colOff>1253100</xdr:colOff>
      <xdr:row>4</xdr:row>
      <xdr:rowOff>75558</xdr:rowOff>
    </xdr:to>
    <xdr:grpSp>
      <xdr:nvGrpSpPr>
        <xdr:cNvPr id="13" name="Agrupar 5">
          <a:hlinkClick xmlns:r="http://schemas.openxmlformats.org/officeDocument/2006/relationships" r:id="rId8"/>
          <a:extLst>
            <a:ext uri="{FF2B5EF4-FFF2-40B4-BE49-F238E27FC236}">
              <a16:creationId xmlns:a16="http://schemas.microsoft.com/office/drawing/2014/main" id="{5B16ECB7-B5C0-4E1E-A692-282F7B707C1F}"/>
            </a:ext>
          </a:extLst>
        </xdr:cNvPr>
        <xdr:cNvGrpSpPr/>
      </xdr:nvGrpSpPr>
      <xdr:grpSpPr>
        <a:xfrm>
          <a:off x="5699125" y="581025"/>
          <a:ext cx="983225" cy="904233"/>
          <a:chOff x="4970318" y="190500"/>
          <a:chExt cx="1143001" cy="1091045"/>
        </a:xfrm>
      </xdr:grpSpPr>
      <xdr:sp macro="" textlink="">
        <xdr:nvSpPr>
          <xdr:cNvPr id="14" name="Elipse 6">
            <a:extLst>
              <a:ext uri="{FF2B5EF4-FFF2-40B4-BE49-F238E27FC236}">
                <a16:creationId xmlns:a16="http://schemas.microsoft.com/office/drawing/2014/main" id="{E1AEF935-B2DA-11EA-0E62-A75E0CA9A1A8}"/>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7">
            <a:extLst>
              <a:ext uri="{FF2B5EF4-FFF2-40B4-BE49-F238E27FC236}">
                <a16:creationId xmlns:a16="http://schemas.microsoft.com/office/drawing/2014/main" id="{4A006C29-45F2-F0F9-8680-018CC9A7B267}"/>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wsDr>
</file>

<file path=xl/drawings/drawing44.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ACBE423E-438D-45DD-BCCB-C112D7BA57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6F8AFEC8-3893-47F7-A1F8-1D7DED827B8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31DA3DD5-57BF-4B41-BF79-D4B47E49A5F5}"/>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1025C82B-DF3B-46A2-8CFF-F94C92D0FF48}"/>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B7B95206-F6C6-4844-AB14-01870AA1AFEC}"/>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84F79351-D3D7-4D3B-9770-03B7092318FB}"/>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21" name="Isosceles Triangle 25">
          <a:hlinkClick xmlns:r="http://schemas.openxmlformats.org/officeDocument/2006/relationships" r:id="rId6"/>
          <a:extLst>
            <a:ext uri="{FF2B5EF4-FFF2-40B4-BE49-F238E27FC236}">
              <a16:creationId xmlns:a16="http://schemas.microsoft.com/office/drawing/2014/main" id="{1AF3F736-AAF4-4054-BF94-841658FD8862}"/>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22" name="Retângulo 21">
          <a:hlinkClick xmlns:r="http://schemas.openxmlformats.org/officeDocument/2006/relationships" r:id="rId7"/>
          <a:extLst>
            <a:ext uri="{FF2B5EF4-FFF2-40B4-BE49-F238E27FC236}">
              <a16:creationId xmlns:a16="http://schemas.microsoft.com/office/drawing/2014/main" id="{6FF2EC46-B6DD-4B14-B08B-40518EAC0674}"/>
            </a:ext>
          </a:extLst>
        </xdr:cNvPr>
        <xdr:cNvSpPr/>
      </xdr:nvSpPr>
      <xdr:spPr>
        <a:xfrm>
          <a:off x="5361653" y="138266"/>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261170</xdr:colOff>
      <xdr:row>1</xdr:row>
      <xdr:rowOff>414798</xdr:rowOff>
    </xdr:from>
    <xdr:to>
      <xdr:col>10</xdr:col>
      <xdr:colOff>1244395</xdr:colOff>
      <xdr:row>4</xdr:row>
      <xdr:rowOff>71461</xdr:rowOff>
    </xdr:to>
    <xdr:grpSp>
      <xdr:nvGrpSpPr>
        <xdr:cNvPr id="13" name="Agrupar 5">
          <a:hlinkClick xmlns:r="http://schemas.openxmlformats.org/officeDocument/2006/relationships" r:id="rId8"/>
          <a:extLst>
            <a:ext uri="{FF2B5EF4-FFF2-40B4-BE49-F238E27FC236}">
              <a16:creationId xmlns:a16="http://schemas.microsoft.com/office/drawing/2014/main" id="{8B1DEEE7-6493-4469-BD74-3AB9C926CA16}"/>
            </a:ext>
          </a:extLst>
        </xdr:cNvPr>
        <xdr:cNvGrpSpPr/>
      </xdr:nvGrpSpPr>
      <xdr:grpSpPr>
        <a:xfrm>
          <a:off x="5690420" y="567198"/>
          <a:ext cx="983225" cy="913963"/>
          <a:chOff x="4970318" y="190500"/>
          <a:chExt cx="1143001" cy="1091045"/>
        </a:xfrm>
      </xdr:grpSpPr>
      <xdr:sp macro="" textlink="">
        <xdr:nvSpPr>
          <xdr:cNvPr id="14" name="Elipse 6">
            <a:extLst>
              <a:ext uri="{FF2B5EF4-FFF2-40B4-BE49-F238E27FC236}">
                <a16:creationId xmlns:a16="http://schemas.microsoft.com/office/drawing/2014/main" id="{E2D12672-739A-A4E5-D3A6-C563A7AEBD85}"/>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7">
            <a:extLst>
              <a:ext uri="{FF2B5EF4-FFF2-40B4-BE49-F238E27FC236}">
                <a16:creationId xmlns:a16="http://schemas.microsoft.com/office/drawing/2014/main" id="{4F5D223E-8B4B-1F43-AE88-41E77E6AD3CC}"/>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wsDr>
</file>

<file path=xl/drawings/drawing45.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F199B52D-250E-45F5-9291-209E19726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A98F50D0-FD86-4DE5-A2B9-6F055D61E6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7BF37375-99C3-4EE5-9E0D-528669CF7D3D}"/>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8" name="TextBox 19">
          <a:extLst>
            <a:ext uri="{FF2B5EF4-FFF2-40B4-BE49-F238E27FC236}">
              <a16:creationId xmlns:a16="http://schemas.microsoft.com/office/drawing/2014/main" id="{5521C74F-D197-4492-916B-55A68D367CD7}"/>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120A1CF2-7C2C-434F-9F9A-6CE316A62171}"/>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10" name="Isosceles Triangle 23">
          <a:hlinkClick xmlns:r="http://schemas.openxmlformats.org/officeDocument/2006/relationships" r:id="rId5"/>
          <a:extLst>
            <a:ext uri="{FF2B5EF4-FFF2-40B4-BE49-F238E27FC236}">
              <a16:creationId xmlns:a16="http://schemas.microsoft.com/office/drawing/2014/main" id="{F599BF87-82D6-4C8D-884D-C0740541C59B}"/>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22" name="Isosceles Triangle 25">
          <a:hlinkClick xmlns:r="http://schemas.openxmlformats.org/officeDocument/2006/relationships" r:id="rId6"/>
          <a:extLst>
            <a:ext uri="{FF2B5EF4-FFF2-40B4-BE49-F238E27FC236}">
              <a16:creationId xmlns:a16="http://schemas.microsoft.com/office/drawing/2014/main" id="{131E57F5-06F6-499C-AF84-B3FD561E8A09}"/>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347715</xdr:colOff>
      <xdr:row>1</xdr:row>
      <xdr:rowOff>428625</xdr:rowOff>
    </xdr:from>
    <xdr:to>
      <xdr:col>10</xdr:col>
      <xdr:colOff>1388806</xdr:colOff>
      <xdr:row>4</xdr:row>
      <xdr:rowOff>77606</xdr:rowOff>
    </xdr:to>
    <xdr:grpSp>
      <xdr:nvGrpSpPr>
        <xdr:cNvPr id="17" name="Agrupar 2">
          <a:hlinkClick xmlns:r="http://schemas.openxmlformats.org/officeDocument/2006/relationships" r:id="rId7"/>
          <a:extLst>
            <a:ext uri="{FF2B5EF4-FFF2-40B4-BE49-F238E27FC236}">
              <a16:creationId xmlns:a16="http://schemas.microsoft.com/office/drawing/2014/main" id="{B9532A9B-D1E5-4EA6-9453-66AC4A808EA5}"/>
            </a:ext>
          </a:extLst>
        </xdr:cNvPr>
        <xdr:cNvGrpSpPr/>
      </xdr:nvGrpSpPr>
      <xdr:grpSpPr>
        <a:xfrm>
          <a:off x="5776965" y="581025"/>
          <a:ext cx="1041091" cy="906281"/>
          <a:chOff x="4970318" y="190500"/>
          <a:chExt cx="1143001" cy="1091045"/>
        </a:xfrm>
      </xdr:grpSpPr>
      <xdr:sp macro="" textlink="">
        <xdr:nvSpPr>
          <xdr:cNvPr id="18" name="Elipse 3">
            <a:extLst>
              <a:ext uri="{FF2B5EF4-FFF2-40B4-BE49-F238E27FC236}">
                <a16:creationId xmlns:a16="http://schemas.microsoft.com/office/drawing/2014/main" id="{9475A768-A1F0-9C79-0AC8-CA0D0910C5C2}"/>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9" name="Imagem 4">
            <a:extLst>
              <a:ext uri="{FF2B5EF4-FFF2-40B4-BE49-F238E27FC236}">
                <a16:creationId xmlns:a16="http://schemas.microsoft.com/office/drawing/2014/main" id="{37A0C015-9485-72A5-68D0-F6D29C903BC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twoCellAnchor>
    <xdr:from>
      <xdr:col>10</xdr:col>
      <xdr:colOff>0</xdr:colOff>
      <xdr:row>1</xdr:row>
      <xdr:rowOff>0</xdr:rowOff>
    </xdr:from>
    <xdr:to>
      <xdr:col>11</xdr:col>
      <xdr:colOff>369938</xdr:colOff>
      <xdr:row>1</xdr:row>
      <xdr:rowOff>293124</xdr:rowOff>
    </xdr:to>
    <xdr:sp macro="" textlink="">
      <xdr:nvSpPr>
        <xdr:cNvPr id="23" name="Retângulo 22">
          <a:hlinkClick xmlns:r="http://schemas.openxmlformats.org/officeDocument/2006/relationships" r:id="rId9"/>
          <a:extLst>
            <a:ext uri="{FF2B5EF4-FFF2-40B4-BE49-F238E27FC236}">
              <a16:creationId xmlns:a16="http://schemas.microsoft.com/office/drawing/2014/main" id="{545B78C4-33FF-4CFC-AFBE-4FB75DC2D732}"/>
            </a:ext>
          </a:extLst>
        </xdr:cNvPr>
        <xdr:cNvSpPr/>
      </xdr:nvSpPr>
      <xdr:spPr>
        <a:xfrm>
          <a:off x="5361653" y="138266"/>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16728261-357F-4AA2-A85D-DEE8F5686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6" name="Gráfico 5" descr="Início com preenchimento sólido">
          <a:hlinkClick xmlns:r="http://schemas.openxmlformats.org/officeDocument/2006/relationships" r:id="rId2"/>
          <a:extLst>
            <a:ext uri="{FF2B5EF4-FFF2-40B4-BE49-F238E27FC236}">
              <a16:creationId xmlns:a16="http://schemas.microsoft.com/office/drawing/2014/main" id="{625A0063-AADC-4189-AB2A-86741F0BF09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7" name="TextBox 18">
          <a:extLst>
            <a:ext uri="{FF2B5EF4-FFF2-40B4-BE49-F238E27FC236}">
              <a16:creationId xmlns:a16="http://schemas.microsoft.com/office/drawing/2014/main" id="{925341BE-4F47-4B14-93DB-148742835B46}"/>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9" name="TextBox 22">
          <a:extLst>
            <a:ext uri="{FF2B5EF4-FFF2-40B4-BE49-F238E27FC236}">
              <a16:creationId xmlns:a16="http://schemas.microsoft.com/office/drawing/2014/main" id="{7037F376-95C6-492B-A341-A93B005B5EA5}"/>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22" name="Isosceles Triangle 25">
          <a:hlinkClick xmlns:r="http://schemas.openxmlformats.org/officeDocument/2006/relationships" r:id="rId5"/>
          <a:extLst>
            <a:ext uri="{FF2B5EF4-FFF2-40B4-BE49-F238E27FC236}">
              <a16:creationId xmlns:a16="http://schemas.microsoft.com/office/drawing/2014/main" id="{29823AB8-14E1-45A5-B137-77378CD15BBB}"/>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23" name="Retângulo 22">
          <a:hlinkClick xmlns:r="http://schemas.openxmlformats.org/officeDocument/2006/relationships" r:id="rId6"/>
          <a:extLst>
            <a:ext uri="{FF2B5EF4-FFF2-40B4-BE49-F238E27FC236}">
              <a16:creationId xmlns:a16="http://schemas.microsoft.com/office/drawing/2014/main" id="{5FF139ED-6BAD-4E62-BEBF-94AF1F5072BE}"/>
            </a:ext>
          </a:extLst>
        </xdr:cNvPr>
        <xdr:cNvSpPr/>
      </xdr:nvSpPr>
      <xdr:spPr>
        <a:xfrm>
          <a:off x="5361653" y="138266"/>
          <a:ext cx="1906229"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276532</xdr:colOff>
      <xdr:row>1</xdr:row>
      <xdr:rowOff>430162</xdr:rowOff>
    </xdr:from>
    <xdr:to>
      <xdr:col>10</xdr:col>
      <xdr:colOff>1259757</xdr:colOff>
      <xdr:row>4</xdr:row>
      <xdr:rowOff>86825</xdr:rowOff>
    </xdr:to>
    <xdr:grpSp>
      <xdr:nvGrpSpPr>
        <xdr:cNvPr id="11" name="Agrupar 5">
          <a:hlinkClick xmlns:r="http://schemas.openxmlformats.org/officeDocument/2006/relationships" r:id="rId7"/>
          <a:extLst>
            <a:ext uri="{FF2B5EF4-FFF2-40B4-BE49-F238E27FC236}">
              <a16:creationId xmlns:a16="http://schemas.microsoft.com/office/drawing/2014/main" id="{DB3DAC91-6A5E-4E85-A2BB-F738E21306D2}"/>
            </a:ext>
          </a:extLst>
        </xdr:cNvPr>
        <xdr:cNvGrpSpPr/>
      </xdr:nvGrpSpPr>
      <xdr:grpSpPr>
        <a:xfrm>
          <a:off x="5705782" y="582562"/>
          <a:ext cx="983225" cy="913963"/>
          <a:chOff x="4970318" y="190500"/>
          <a:chExt cx="1143001" cy="1091045"/>
        </a:xfrm>
      </xdr:grpSpPr>
      <xdr:sp macro="" textlink="">
        <xdr:nvSpPr>
          <xdr:cNvPr id="12" name="Elipse 6">
            <a:extLst>
              <a:ext uri="{FF2B5EF4-FFF2-40B4-BE49-F238E27FC236}">
                <a16:creationId xmlns:a16="http://schemas.microsoft.com/office/drawing/2014/main" id="{BFEBC5B3-09EB-0938-6453-6EB3A5DD3336}"/>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3" name="Imagem 7">
            <a:extLst>
              <a:ext uri="{FF2B5EF4-FFF2-40B4-BE49-F238E27FC236}">
                <a16:creationId xmlns:a16="http://schemas.microsoft.com/office/drawing/2014/main" id="{DCF46A3E-1CD9-24C5-469E-512DFA8B4394}"/>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twoCellAnchor>
    <xdr:from>
      <xdr:col>0</xdr:col>
      <xdr:colOff>0</xdr:colOff>
      <xdr:row>1</xdr:row>
      <xdr:rowOff>385608</xdr:rowOff>
    </xdr:from>
    <xdr:to>
      <xdr:col>2</xdr:col>
      <xdr:colOff>607333</xdr:colOff>
      <xdr:row>2</xdr:row>
      <xdr:rowOff>130670</xdr:rowOff>
    </xdr:to>
    <xdr:sp macro="" textlink="">
      <xdr:nvSpPr>
        <xdr:cNvPr id="14" name="TextBox 19">
          <a:extLst>
            <a:ext uri="{FF2B5EF4-FFF2-40B4-BE49-F238E27FC236}">
              <a16:creationId xmlns:a16="http://schemas.microsoft.com/office/drawing/2014/main" id="{93F6B209-0D67-40D9-AB89-DDA90F482753}"/>
            </a:ext>
          </a:extLst>
        </xdr:cNvPr>
        <xdr:cNvSpPr txBox="1"/>
      </xdr:nvSpPr>
      <xdr:spPr>
        <a:xfrm>
          <a:off x="0" y="528483"/>
          <a:ext cx="1004208" cy="300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Seguiente</a:t>
          </a:r>
        </a:p>
      </xdr:txBody>
    </xdr:sp>
    <xdr:clientData/>
  </xdr:twoCellAnchor>
  <xdr:twoCellAnchor>
    <xdr:from>
      <xdr:col>2</xdr:col>
      <xdr:colOff>1816</xdr:colOff>
      <xdr:row>0</xdr:row>
      <xdr:rowOff>0</xdr:rowOff>
    </xdr:from>
    <xdr:to>
      <xdr:col>2</xdr:col>
      <xdr:colOff>382816</xdr:colOff>
      <xdr:row>1</xdr:row>
      <xdr:rowOff>344790</xdr:rowOff>
    </xdr:to>
    <xdr:sp macro="" textlink="">
      <xdr:nvSpPr>
        <xdr:cNvPr id="15" name="Isosceles Triangle 23">
          <a:hlinkClick xmlns:r="http://schemas.openxmlformats.org/officeDocument/2006/relationships" r:id="rId9"/>
          <a:extLst>
            <a:ext uri="{FF2B5EF4-FFF2-40B4-BE49-F238E27FC236}">
              <a16:creationId xmlns:a16="http://schemas.microsoft.com/office/drawing/2014/main" id="{DE37EE6F-FF7C-4DC7-887D-6176B689A786}"/>
            </a:ext>
          </a:extLst>
        </xdr:cNvPr>
        <xdr:cNvSpPr/>
      </xdr:nvSpPr>
      <xdr:spPr>
        <a:xfrm rot="5400000">
          <a:off x="345358" y="5333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18</xdr:col>
      <xdr:colOff>254000</xdr:colOff>
      <xdr:row>1</xdr:row>
      <xdr:rowOff>512608</xdr:rowOff>
    </xdr:from>
    <xdr:to>
      <xdr:col>18</xdr:col>
      <xdr:colOff>1258208</xdr:colOff>
      <xdr:row>3</xdr:row>
      <xdr:rowOff>3670</xdr:rowOff>
    </xdr:to>
    <xdr:sp macro="" textlink="">
      <xdr:nvSpPr>
        <xdr:cNvPr id="16" name="TextBox 19">
          <a:extLst>
            <a:ext uri="{FF2B5EF4-FFF2-40B4-BE49-F238E27FC236}">
              <a16:creationId xmlns:a16="http://schemas.microsoft.com/office/drawing/2014/main" id="{DBB51824-7B9B-41C9-AEB1-656723B63EC0}"/>
            </a:ext>
          </a:extLst>
        </xdr:cNvPr>
        <xdr:cNvSpPr txBox="1"/>
      </xdr:nvSpPr>
      <xdr:spPr>
        <a:xfrm>
          <a:off x="17938750" y="655483"/>
          <a:ext cx="1004208" cy="3006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18</xdr:col>
      <xdr:colOff>652691</xdr:colOff>
      <xdr:row>0</xdr:row>
      <xdr:rowOff>127000</xdr:rowOff>
    </xdr:from>
    <xdr:to>
      <xdr:col>18</xdr:col>
      <xdr:colOff>1033691</xdr:colOff>
      <xdr:row>1</xdr:row>
      <xdr:rowOff>471790</xdr:rowOff>
    </xdr:to>
    <xdr:sp macro="" textlink="">
      <xdr:nvSpPr>
        <xdr:cNvPr id="17" name="Isosceles Triangle 23">
          <a:hlinkClick xmlns:r="http://schemas.openxmlformats.org/officeDocument/2006/relationships" r:id="rId10"/>
          <a:extLst>
            <a:ext uri="{FF2B5EF4-FFF2-40B4-BE49-F238E27FC236}">
              <a16:creationId xmlns:a16="http://schemas.microsoft.com/office/drawing/2014/main" id="{2417D028-C257-482C-89DF-4FC821192738}"/>
            </a:ext>
          </a:extLst>
        </xdr:cNvPr>
        <xdr:cNvSpPr/>
      </xdr:nvSpPr>
      <xdr:spPr>
        <a:xfrm rot="5400000">
          <a:off x="18284108" y="18033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8D6DD2BA-7072-4EE8-A640-4E283731E4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F5950AFD-34B0-4628-8E9D-5212C6E39B5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EC7833EF-A0DB-46B4-B113-ADE84BF7370F}"/>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E4CC7C04-E5E7-4EF1-977F-5C02106E8D6C}"/>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AC1433AA-BC3B-4D0B-A2B8-C5BA891FAD90}"/>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B7F2DADD-DD91-4888-8C66-D02C4DEC7D43}"/>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5C0874B5-D72C-40F2-BFAC-42C6920C8090}"/>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12" name="Retângulo 11">
          <a:hlinkClick xmlns:r="http://schemas.openxmlformats.org/officeDocument/2006/relationships" r:id="rId7"/>
          <a:extLst>
            <a:ext uri="{FF2B5EF4-FFF2-40B4-BE49-F238E27FC236}">
              <a16:creationId xmlns:a16="http://schemas.microsoft.com/office/drawing/2014/main" id="{CED8AE1C-72CF-438C-AD4B-9F9425D313DC}"/>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3" name="Agrupar 12">
          <a:hlinkClick xmlns:r="http://schemas.openxmlformats.org/officeDocument/2006/relationships" r:id="rId8"/>
          <a:extLst>
            <a:ext uri="{FF2B5EF4-FFF2-40B4-BE49-F238E27FC236}">
              <a16:creationId xmlns:a16="http://schemas.microsoft.com/office/drawing/2014/main" id="{4E2B540D-8411-4D2B-87A4-C6C2C5146A22}"/>
            </a:ext>
          </a:extLst>
        </xdr:cNvPr>
        <xdr:cNvGrpSpPr/>
      </xdr:nvGrpSpPr>
      <xdr:grpSpPr>
        <a:xfrm>
          <a:off x="5778500" y="581026"/>
          <a:ext cx="1063625" cy="971549"/>
          <a:chOff x="5615420" y="476250"/>
          <a:chExt cx="909205" cy="829829"/>
        </a:xfrm>
      </xdr:grpSpPr>
      <xdr:sp macro="" textlink="">
        <xdr:nvSpPr>
          <xdr:cNvPr id="14" name="Elipse 13">
            <a:extLst>
              <a:ext uri="{FF2B5EF4-FFF2-40B4-BE49-F238E27FC236}">
                <a16:creationId xmlns:a16="http://schemas.microsoft.com/office/drawing/2014/main" id="{544E435A-CBC3-C610-9324-7494009D77D1}"/>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14">
            <a:extLst>
              <a:ext uri="{FF2B5EF4-FFF2-40B4-BE49-F238E27FC236}">
                <a16:creationId xmlns:a16="http://schemas.microsoft.com/office/drawing/2014/main" id="{C7145140-1879-347A-1137-EC1D4E3B2AD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48.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C4A8138A-7F94-4E9A-B9A3-59B7C39FFB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6FF57DE5-F25F-4B55-90F5-C946345D8BB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CA65C8AC-06FA-4F9F-89EC-0CCBE458DE70}"/>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59760807-0219-46D0-8A95-2A42B7D42152}"/>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1F45A8D5-8692-4267-8A98-3016219BB19D}"/>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08C795E2-95CC-476F-A19F-780D1D175A5A}"/>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94BA25C2-8283-4C1B-99D7-C701197EEC95}"/>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37D0A751-8FA8-4575-8EFA-5202806B2DA2}"/>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2CCC76F7-A399-4876-806E-D0C335A66867}"/>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E0CFA481-9879-A568-0C79-2BC9EFAFA0D9}"/>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396A2922-6850-DC12-144B-65D219B767F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49.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550C29DB-6659-4750-B3FE-6D7CDC321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0930FF63-740E-4109-A944-9FC8C51E910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98A268FC-A9F0-4924-AB5E-24CEB6203542}"/>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30648400-4250-4F83-93F3-EFC4A49E0EED}"/>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1164FD64-9C10-44EB-AA66-721357A46033}"/>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F7192E71-B3EC-4A5D-8E05-B8AF54E24503}"/>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62AA9788-EFEF-471C-B5F1-6E2D6104443F}"/>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DA022777-37B2-4F16-A224-86910634E343}"/>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1C7054C0-7AC6-4C99-8861-1345970457D2}"/>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E48AF9E0-0042-6B09-34CA-9F62321750EB}"/>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298531CC-0C38-556E-42F6-195895962F1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386197</xdr:colOff>
      <xdr:row>0</xdr:row>
      <xdr:rowOff>85725</xdr:rowOff>
    </xdr:from>
    <xdr:to>
      <xdr:col>1</xdr:col>
      <xdr:colOff>538596</xdr:colOff>
      <xdr:row>1</xdr:row>
      <xdr:rowOff>400050</xdr:rowOff>
    </xdr:to>
    <xdr:pic>
      <xdr:nvPicPr>
        <xdr:cNvPr id="2" name="Imagem 9">
          <a:extLst>
            <a:ext uri="{FF2B5EF4-FFF2-40B4-BE49-F238E27FC236}">
              <a16:creationId xmlns:a16="http://schemas.microsoft.com/office/drawing/2014/main" id="{70FBB057-4E4D-4012-A9AD-F5895BAF85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6197" y="85725"/>
          <a:ext cx="761999" cy="866775"/>
        </a:xfrm>
        <a:prstGeom prst="rect">
          <a:avLst/>
        </a:prstGeom>
      </xdr:spPr>
    </xdr:pic>
    <xdr:clientData/>
  </xdr:twoCellAnchor>
  <xdr:twoCellAnchor>
    <xdr:from>
      <xdr:col>5</xdr:col>
      <xdr:colOff>11811000</xdr:colOff>
      <xdr:row>0</xdr:row>
      <xdr:rowOff>66387</xdr:rowOff>
    </xdr:from>
    <xdr:to>
      <xdr:col>7</xdr:col>
      <xdr:colOff>0</xdr:colOff>
      <xdr:row>1</xdr:row>
      <xdr:rowOff>381000</xdr:rowOff>
    </xdr:to>
    <xdr:grpSp>
      <xdr:nvGrpSpPr>
        <xdr:cNvPr id="3" name="Agrupar 2">
          <a:extLst>
            <a:ext uri="{FF2B5EF4-FFF2-40B4-BE49-F238E27FC236}">
              <a16:creationId xmlns:a16="http://schemas.microsoft.com/office/drawing/2014/main" id="{FD8CB4AD-D629-4338-B2B8-FF8ECB8C3771}"/>
            </a:ext>
          </a:extLst>
        </xdr:cNvPr>
        <xdr:cNvGrpSpPr/>
      </xdr:nvGrpSpPr>
      <xdr:grpSpPr>
        <a:xfrm>
          <a:off x="20974050" y="66387"/>
          <a:ext cx="1009650" cy="867063"/>
          <a:chOff x="21197455" y="95624"/>
          <a:chExt cx="1145098" cy="1203240"/>
        </a:xfrm>
      </xdr:grpSpPr>
      <xdr:pic>
        <xdr:nvPicPr>
          <xdr:cNvPr id="4" name="Gráfico 7" descr="Início com preenchimento sólido">
            <a:hlinkClick xmlns:r="http://schemas.openxmlformats.org/officeDocument/2006/relationships" r:id="rId2"/>
            <a:extLst>
              <a:ext uri="{FF2B5EF4-FFF2-40B4-BE49-F238E27FC236}">
                <a16:creationId xmlns:a16="http://schemas.microsoft.com/office/drawing/2014/main" id="{3789C919-48A2-6104-4B0B-76CCB50670B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332579" y="95624"/>
            <a:ext cx="900752" cy="943467"/>
          </a:xfrm>
          <a:prstGeom prst="rect">
            <a:avLst/>
          </a:prstGeom>
        </xdr:spPr>
      </xdr:pic>
      <xdr:sp macro="" textlink="">
        <xdr:nvSpPr>
          <xdr:cNvPr id="5" name="TextBox 18">
            <a:extLst>
              <a:ext uri="{FF2B5EF4-FFF2-40B4-BE49-F238E27FC236}">
                <a16:creationId xmlns:a16="http://schemas.microsoft.com/office/drawing/2014/main" id="{01F65247-A20E-8F74-6B65-814B2AC44A07}"/>
              </a:ext>
            </a:extLst>
          </xdr:cNvPr>
          <xdr:cNvSpPr txBox="1"/>
        </xdr:nvSpPr>
        <xdr:spPr>
          <a:xfrm>
            <a:off x="21197455" y="923546"/>
            <a:ext cx="1145098" cy="37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solidFill>
                  <a:schemeClr val="tx1">
                    <a:lumMod val="75000"/>
                    <a:lumOff val="25000"/>
                  </a:schemeClr>
                </a:solidFill>
                <a:latin typeface="Century Gothic" panose="020B0502020202020204" pitchFamily="34" charset="0"/>
              </a:rPr>
              <a:t>Inicio</a:t>
            </a:r>
          </a:p>
        </xdr:txBody>
      </xdr:sp>
    </xdr:grpSp>
    <xdr:clientData/>
  </xdr:twoCellAnchor>
  <xdr:twoCellAnchor>
    <xdr:from>
      <xdr:col>3</xdr:col>
      <xdr:colOff>710047</xdr:colOff>
      <xdr:row>0</xdr:row>
      <xdr:rowOff>285750</xdr:rowOff>
    </xdr:from>
    <xdr:to>
      <xdr:col>3</xdr:col>
      <xdr:colOff>1689966</xdr:colOff>
      <xdr:row>2</xdr:row>
      <xdr:rowOff>159616</xdr:rowOff>
    </xdr:to>
    <xdr:grpSp>
      <xdr:nvGrpSpPr>
        <xdr:cNvPr id="11" name="Agrupar 10">
          <a:extLst>
            <a:ext uri="{FF2B5EF4-FFF2-40B4-BE49-F238E27FC236}">
              <a16:creationId xmlns:a16="http://schemas.microsoft.com/office/drawing/2014/main" id="{57BBC4C5-92B1-B9C3-C09D-F6C8E46592C8}"/>
            </a:ext>
          </a:extLst>
        </xdr:cNvPr>
        <xdr:cNvGrpSpPr/>
      </xdr:nvGrpSpPr>
      <xdr:grpSpPr>
        <a:xfrm>
          <a:off x="4272397" y="285750"/>
          <a:ext cx="979919" cy="902566"/>
          <a:chOff x="4104409" y="432954"/>
          <a:chExt cx="1098263" cy="983674"/>
        </a:xfrm>
      </xdr:grpSpPr>
      <xdr:sp macro="" textlink="">
        <xdr:nvSpPr>
          <xdr:cNvPr id="7" name="Elipse 6">
            <a:extLst>
              <a:ext uri="{FF2B5EF4-FFF2-40B4-BE49-F238E27FC236}">
                <a16:creationId xmlns:a16="http://schemas.microsoft.com/office/drawing/2014/main" id="{9F0A00F3-6A03-7DFB-9E53-085DB2161A2E}"/>
              </a:ext>
            </a:extLst>
          </xdr:cNvPr>
          <xdr:cNvSpPr/>
        </xdr:nvSpPr>
        <xdr:spPr>
          <a:xfrm>
            <a:off x="4104409" y="432954"/>
            <a:ext cx="1098263" cy="962602"/>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0" name="Gráfico 9" descr="Livro aberto estrutura de tópicos">
            <a:extLst>
              <a:ext uri="{FF2B5EF4-FFF2-40B4-BE49-F238E27FC236}">
                <a16:creationId xmlns:a16="http://schemas.microsoft.com/office/drawing/2014/main" id="{3B1EA18E-5245-D54F-75A8-D3A50AEDAD6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191000" y="502228"/>
            <a:ext cx="914400" cy="914400"/>
          </a:xfrm>
          <a:prstGeom prst="rect">
            <a:avLst/>
          </a:prstGeom>
        </xdr:spPr>
      </xdr:pic>
    </xdr:grpSp>
    <xdr:clientData/>
  </xdr:twoCellAnchor>
  <xdr:twoCellAnchor>
    <xdr:from>
      <xdr:col>5</xdr:col>
      <xdr:colOff>138546</xdr:colOff>
      <xdr:row>27</xdr:row>
      <xdr:rowOff>103909</xdr:rowOff>
    </xdr:from>
    <xdr:to>
      <xdr:col>5</xdr:col>
      <xdr:colOff>4364182</xdr:colOff>
      <xdr:row>28</xdr:row>
      <xdr:rowOff>0</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0088E77D-F2C7-4D5E-B8CF-A7395B8087B3}"/>
            </a:ext>
          </a:extLst>
        </xdr:cNvPr>
        <xdr:cNvSpPr/>
      </xdr:nvSpPr>
      <xdr:spPr>
        <a:xfrm>
          <a:off x="9265228" y="11759045"/>
          <a:ext cx="4225636" cy="467591"/>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400">
              <a:solidFill>
                <a:sysClr val="windowText" lastClr="000000"/>
              </a:solidFill>
              <a:latin typeface="Century Gothic" panose="020B0502020202020204" pitchFamily="34" charset="0"/>
            </a:rPr>
            <a:t>EJEMPLO</a:t>
          </a:r>
          <a:r>
            <a:rPr lang="pt-BR" sz="2400" baseline="0">
              <a:solidFill>
                <a:sysClr val="windowText" lastClr="000000"/>
              </a:solidFill>
              <a:latin typeface="Century Gothic" panose="020B0502020202020204" pitchFamily="34" charset="0"/>
            </a:rPr>
            <a:t> ITEM</a:t>
          </a:r>
          <a:endParaRPr lang="pt-BR" sz="2400">
            <a:solidFill>
              <a:sysClr val="windowText" lastClr="000000"/>
            </a:solidFill>
            <a:latin typeface="Century Gothic" panose="020B0502020202020204" pitchFamily="34" charset="0"/>
          </a:endParaRPr>
        </a:p>
      </xdr:txBody>
    </xdr:sp>
    <xdr:clientData/>
  </xdr:twoCellAnchor>
  <xdr:twoCellAnchor editAs="oneCell">
    <xdr:from>
      <xdr:col>2</xdr:col>
      <xdr:colOff>207817</xdr:colOff>
      <xdr:row>5</xdr:row>
      <xdr:rowOff>155865</xdr:rowOff>
    </xdr:from>
    <xdr:to>
      <xdr:col>2</xdr:col>
      <xdr:colOff>2130135</xdr:colOff>
      <xdr:row>7</xdr:row>
      <xdr:rowOff>376228</xdr:rowOff>
    </xdr:to>
    <xdr:pic>
      <xdr:nvPicPr>
        <xdr:cNvPr id="6" name="Picture 5">
          <a:extLst>
            <a:ext uri="{FF2B5EF4-FFF2-40B4-BE49-F238E27FC236}">
              <a16:creationId xmlns:a16="http://schemas.microsoft.com/office/drawing/2014/main" id="{ABEC4F19-4484-0597-CA93-94531FD5D762}"/>
            </a:ext>
          </a:extLst>
        </xdr:cNvPr>
        <xdr:cNvPicPr>
          <a:picLocks noChangeAspect="1"/>
        </xdr:cNvPicPr>
      </xdr:nvPicPr>
      <xdr:blipFill>
        <a:blip xmlns:r="http://schemas.openxmlformats.org/officeDocument/2006/relationships" r:embed="rId8"/>
        <a:stretch>
          <a:fillRect/>
        </a:stretch>
      </xdr:blipFill>
      <xdr:spPr>
        <a:xfrm>
          <a:off x="1420090" y="1905001"/>
          <a:ext cx="1922318" cy="843818"/>
        </a:xfrm>
        <a:prstGeom prst="rect">
          <a:avLst/>
        </a:prstGeom>
      </xdr:spPr>
    </xdr:pic>
    <xdr:clientData/>
  </xdr:twoCellAnchor>
  <xdr:twoCellAnchor editAs="oneCell">
    <xdr:from>
      <xdr:col>2</xdr:col>
      <xdr:colOff>554183</xdr:colOff>
      <xdr:row>11</xdr:row>
      <xdr:rowOff>190498</xdr:rowOff>
    </xdr:from>
    <xdr:to>
      <xdr:col>3</xdr:col>
      <xdr:colOff>2234047</xdr:colOff>
      <xdr:row>14</xdr:row>
      <xdr:rowOff>231506</xdr:rowOff>
    </xdr:to>
    <xdr:pic>
      <xdr:nvPicPr>
        <xdr:cNvPr id="8" name="Picture 7">
          <a:extLst>
            <a:ext uri="{FF2B5EF4-FFF2-40B4-BE49-F238E27FC236}">
              <a16:creationId xmlns:a16="http://schemas.microsoft.com/office/drawing/2014/main" id="{C72CA9EC-062F-7E34-C25B-D9D7757C8024}"/>
            </a:ext>
          </a:extLst>
        </xdr:cNvPr>
        <xdr:cNvPicPr>
          <a:picLocks noChangeAspect="1"/>
        </xdr:cNvPicPr>
      </xdr:nvPicPr>
      <xdr:blipFill>
        <a:blip xmlns:r="http://schemas.openxmlformats.org/officeDocument/2006/relationships" r:embed="rId9"/>
        <a:stretch>
          <a:fillRect/>
        </a:stretch>
      </xdr:blipFill>
      <xdr:spPr>
        <a:xfrm>
          <a:off x="1766456" y="4190998"/>
          <a:ext cx="4017818" cy="1582326"/>
        </a:xfrm>
        <a:prstGeom prst="rect">
          <a:avLst/>
        </a:prstGeom>
      </xdr:spPr>
    </xdr:pic>
    <xdr:clientData/>
  </xdr:twoCellAnchor>
  <xdr:twoCellAnchor editAs="oneCell">
    <xdr:from>
      <xdr:col>2</xdr:col>
      <xdr:colOff>363682</xdr:colOff>
      <xdr:row>23</xdr:row>
      <xdr:rowOff>255638</xdr:rowOff>
    </xdr:from>
    <xdr:to>
      <xdr:col>3</xdr:col>
      <xdr:colOff>2449315</xdr:colOff>
      <xdr:row>25</xdr:row>
      <xdr:rowOff>294408</xdr:rowOff>
    </xdr:to>
    <xdr:pic>
      <xdr:nvPicPr>
        <xdr:cNvPr id="17" name="Picture 16">
          <a:extLst>
            <a:ext uri="{FF2B5EF4-FFF2-40B4-BE49-F238E27FC236}">
              <a16:creationId xmlns:a16="http://schemas.microsoft.com/office/drawing/2014/main" id="{3F0183E3-BDDA-A609-AE29-BABAFDE5044A}"/>
            </a:ext>
          </a:extLst>
        </xdr:cNvPr>
        <xdr:cNvPicPr>
          <a:picLocks noChangeAspect="1"/>
        </xdr:cNvPicPr>
      </xdr:nvPicPr>
      <xdr:blipFill>
        <a:blip xmlns:r="http://schemas.openxmlformats.org/officeDocument/2006/relationships" r:embed="rId10"/>
        <a:stretch>
          <a:fillRect/>
        </a:stretch>
      </xdr:blipFill>
      <xdr:spPr>
        <a:xfrm>
          <a:off x="1575955" y="9070593"/>
          <a:ext cx="4423587" cy="1199088"/>
        </a:xfrm>
        <a:prstGeom prst="rect">
          <a:avLst/>
        </a:prstGeom>
      </xdr:spPr>
    </xdr:pic>
    <xdr:clientData/>
  </xdr:twoCellAnchor>
  <xdr:twoCellAnchor>
    <xdr:from>
      <xdr:col>5</xdr:col>
      <xdr:colOff>9923319</xdr:colOff>
      <xdr:row>0</xdr:row>
      <xdr:rowOff>173182</xdr:rowOff>
    </xdr:from>
    <xdr:to>
      <xdr:col>5</xdr:col>
      <xdr:colOff>11686598</xdr:colOff>
      <xdr:row>1</xdr:row>
      <xdr:rowOff>278535</xdr:rowOff>
    </xdr:to>
    <xdr:sp macro="" textlink="">
      <xdr:nvSpPr>
        <xdr:cNvPr id="14" name="Retângulo 13">
          <a:hlinkClick xmlns:r="http://schemas.openxmlformats.org/officeDocument/2006/relationships" r:id="rId11"/>
          <a:extLst>
            <a:ext uri="{FF2B5EF4-FFF2-40B4-BE49-F238E27FC236}">
              <a16:creationId xmlns:a16="http://schemas.microsoft.com/office/drawing/2014/main" id="{CE4C4A89-0F65-4501-B24C-32F93FF64740}"/>
            </a:ext>
          </a:extLst>
        </xdr:cNvPr>
        <xdr:cNvSpPr/>
      </xdr:nvSpPr>
      <xdr:spPr>
        <a:xfrm>
          <a:off x="19050001" y="173182"/>
          <a:ext cx="1763279" cy="65953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RESUMO</a:t>
          </a:r>
          <a:r>
            <a:rPr lang="pt-BR" sz="1800" baseline="0">
              <a:solidFill>
                <a:sysClr val="windowText" lastClr="000000"/>
              </a:solidFill>
              <a:latin typeface="Century Gothic" panose="020B0502020202020204" pitchFamily="34" charset="0"/>
            </a:rPr>
            <a:t> DOS ITENS</a:t>
          </a:r>
          <a:endParaRPr lang="pt-BR" sz="1800">
            <a:solidFill>
              <a:sysClr val="windowText" lastClr="000000"/>
            </a:solidFill>
            <a:latin typeface="Century Gothic" panose="020B0502020202020204" pitchFamily="34" charset="0"/>
          </a:endParaRPr>
        </a:p>
      </xdr:txBody>
    </xdr:sp>
    <xdr:clientData/>
  </xdr:twoCellAnchor>
</xdr:wsDr>
</file>

<file path=xl/drawings/drawing50.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B96C37AA-9398-43E6-9586-0F4524724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8A1BCAB0-CA52-48BC-9BDF-AC7A4ADF4EC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B1997C2C-3C95-4584-921C-31B17FA725BA}"/>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58083522-4510-496D-8E16-2F5241D57724}"/>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29E4B452-4064-43FB-B174-850B561C87B3}"/>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B47FE154-D64A-4C45-9529-4CD11571AF44}"/>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6A0E9D37-6C0E-4DB4-A042-2BDAC81CF9EC}"/>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31ADE1AD-04AB-4B57-89F1-1AD9D67B92AB}"/>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F253E6B8-6DD3-4BE1-B1E9-5FBEFEA7E833}"/>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2BCE5602-A077-FAE3-CC3E-2F2059383ACA}"/>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29D6E020-27DD-8C54-5EBA-CDBF44D3A786}"/>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1.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41F66520-1A03-4A3C-A3CC-BEE5C78A41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EC35C222-CFF8-433D-8134-5F5CFE6E9CF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CC252A30-508F-40D5-9A89-5595CEDDB6AA}"/>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629D4ECF-07BD-42B7-A0BB-577C0D1D5C2F}"/>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F1F6E496-3681-4874-89C7-6949A5D84AB5}"/>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9F7BAA39-90FD-4D7A-8CBE-2F4C5BF61C46}"/>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FE142EF7-09B6-4AF6-B808-269410FFB7D0}"/>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0258CB9C-F093-4764-B2F2-B2F002DDF4B8}"/>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7E2FC98D-0D01-4126-8CCD-AF83AABA52B3}"/>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212E6BA8-C2A4-7023-834F-3AC65DCA3E0D}"/>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F2E2CE7E-0F4F-4803-3D7C-BCAC7A393EC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2.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C170919C-5C02-4580-8C2E-96FC27C7C5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C8831071-4C07-442D-B578-7B847A1266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32AB709C-8AB6-4751-BC85-34F0D7B9299F}"/>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56756B6E-B504-4534-BA9A-6488B91226BD}"/>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1059F018-7D23-4195-BDB9-D9BF1FC5D247}"/>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E15C26A0-A2AC-4EB5-A4EE-E8A5380465C8}"/>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D618AE56-DBD5-44E8-B49A-074BD6F21624}"/>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19050</xdr:colOff>
      <xdr:row>1</xdr:row>
      <xdr:rowOff>0</xdr:rowOff>
    </xdr:from>
    <xdr:to>
      <xdr:col>11</xdr:col>
      <xdr:colOff>388988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35E5B185-3DA7-44D2-8FE5-2A12B793DCCD}"/>
            </a:ext>
          </a:extLst>
        </xdr:cNvPr>
        <xdr:cNvSpPr/>
      </xdr:nvSpPr>
      <xdr:spPr>
        <a:xfrm>
          <a:off x="5448300" y="152400"/>
          <a:ext cx="1912988"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CCDB4898-9CED-4269-8A7D-346288FAFDF0}"/>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B1D58718-2DEB-7E2E-FCC3-C3BEA629632A}"/>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3E13911A-1DA4-7F2B-F4DC-2C2563D0D9B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3.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84B82438-F05B-4026-8AE5-8B76CC6C0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CA84BCB4-1F46-4EAD-BF74-4DD1182A69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3965A222-25CC-4950-9A2F-3B6B67DF0D22}"/>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2BE29606-73B1-4146-9907-7495E74E90FB}"/>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88310920-4547-4C80-94CE-DAAB6082AC19}"/>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BF968259-2EF0-424C-A611-0C3985349A8C}"/>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1C6652C9-5BF7-4FFA-A52E-147B9D5FF707}"/>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AB7AA9EE-AE83-40B1-A94D-1329B4F47488}"/>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2F155E50-3CC5-41C7-9B9F-89F586C030C8}"/>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073BC9FF-F3D0-9737-2905-BCE5A0A3DEB6}"/>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110AAC5D-C048-18CB-63DB-93F3B03D7F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4.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4589B461-EAD0-4CF3-9264-6AB869871B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034D50E3-CE62-4574-B61B-7093AD0ACC7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CCFDEE15-8855-4A54-A357-841423F9FE0A}"/>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45BAD2CC-AD05-4DF1-A1DE-3D05AA2A813D}"/>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FC0FAA02-E123-4F27-A880-353432A8FF5B}"/>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E6C144A7-B699-467E-951C-3AAE15C62D42}"/>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ED71D226-C88B-4031-86CD-57DDA8753097}"/>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A62FAC35-8D34-487C-8FD8-09BD9AF18E64}"/>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9C058C62-4229-40F0-8AF3-29B64F12E04B}"/>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AF9AFBE3-333F-549E-83BD-814D91B363D2}"/>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DB19A5E6-14C3-763F-7672-387F8C00684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5.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35B0B7C1-E19F-4960-9C0A-B55FFC007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18</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575BE795-385E-4916-A51C-45C8083F49D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18</xdr:col>
      <xdr:colOff>1077423</xdr:colOff>
      <xdr:row>1</xdr:row>
      <xdr:rowOff>473774</xdr:rowOff>
    </xdr:from>
    <xdr:to>
      <xdr:col>19</xdr:col>
      <xdr:colOff>465102</xdr:colOff>
      <xdr:row>2</xdr:row>
      <xdr:rowOff>188024</xdr:rowOff>
    </xdr:to>
    <xdr:sp macro="" textlink="">
      <xdr:nvSpPr>
        <xdr:cNvPr id="4" name="TextBox 18">
          <a:extLst>
            <a:ext uri="{FF2B5EF4-FFF2-40B4-BE49-F238E27FC236}">
              <a16:creationId xmlns:a16="http://schemas.microsoft.com/office/drawing/2014/main" id="{E35E23D3-3F5F-49BC-B26A-2BD46AFA187F}"/>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19</xdr:col>
      <xdr:colOff>331751</xdr:colOff>
      <xdr:row>1</xdr:row>
      <xdr:rowOff>487381</xdr:rowOff>
    </xdr:from>
    <xdr:to>
      <xdr:col>19</xdr:col>
      <xdr:colOff>1335959</xdr:colOff>
      <xdr:row>2</xdr:row>
      <xdr:rowOff>232443</xdr:rowOff>
    </xdr:to>
    <xdr:sp macro="" textlink="">
      <xdr:nvSpPr>
        <xdr:cNvPr id="5" name="TextBox 19">
          <a:extLst>
            <a:ext uri="{FF2B5EF4-FFF2-40B4-BE49-F238E27FC236}">
              <a16:creationId xmlns:a16="http://schemas.microsoft.com/office/drawing/2014/main" id="{554E78BA-49AE-4954-8A2D-FFF2465421D5}"/>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18</xdr:col>
      <xdr:colOff>307258</xdr:colOff>
      <xdr:row>1</xdr:row>
      <xdr:rowOff>476495</xdr:rowOff>
    </xdr:from>
    <xdr:to>
      <xdr:col>18</xdr:col>
      <xdr:colOff>1311466</xdr:colOff>
      <xdr:row>2</xdr:row>
      <xdr:rowOff>221557</xdr:rowOff>
    </xdr:to>
    <xdr:sp macro="" textlink="">
      <xdr:nvSpPr>
        <xdr:cNvPr id="6" name="TextBox 22">
          <a:extLst>
            <a:ext uri="{FF2B5EF4-FFF2-40B4-BE49-F238E27FC236}">
              <a16:creationId xmlns:a16="http://schemas.microsoft.com/office/drawing/2014/main" id="{2D37B536-4905-4C49-94AC-0885F46FF2BD}"/>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19</xdr:col>
      <xdr:colOff>730442</xdr:colOff>
      <xdr:row>0</xdr:row>
      <xdr:rowOff>101773</xdr:rowOff>
    </xdr:from>
    <xdr:to>
      <xdr:col>19</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76B5A425-6279-43C9-B7BE-EC1C8DDD293A}"/>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18</xdr:col>
      <xdr:colOff>603277</xdr:colOff>
      <xdr:row>0</xdr:row>
      <xdr:rowOff>135420</xdr:rowOff>
    </xdr:from>
    <xdr:to>
      <xdr:col>18</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3BD1BEBE-0E15-43FF-8AA6-0B45427A3C17}"/>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11</xdr:col>
      <xdr:colOff>0</xdr:colOff>
      <xdr:row>1</xdr:row>
      <xdr:rowOff>0</xdr:rowOff>
    </xdr:from>
    <xdr:to>
      <xdr:col>12</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4BAE2AA4-D1AB-4D8A-B126-708CC75B35AF}"/>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11</xdr:col>
      <xdr:colOff>349250</xdr:colOff>
      <xdr:row>1</xdr:row>
      <xdr:rowOff>428626</xdr:rowOff>
    </xdr:from>
    <xdr:to>
      <xdr:col>11</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0DB1106D-7271-4237-9714-111C67E4A40B}"/>
            </a:ext>
          </a:extLst>
        </xdr:cNvPr>
        <xdr:cNvGrpSpPr/>
      </xdr:nvGrpSpPr>
      <xdr:grpSpPr>
        <a:xfrm>
          <a:off x="5930900" y="581026"/>
          <a:ext cx="1063625" cy="971549"/>
          <a:chOff x="5615420" y="476250"/>
          <a:chExt cx="909205" cy="829829"/>
        </a:xfrm>
      </xdr:grpSpPr>
      <xdr:sp macro="" textlink="">
        <xdr:nvSpPr>
          <xdr:cNvPr id="11" name="Elipse 10">
            <a:extLst>
              <a:ext uri="{FF2B5EF4-FFF2-40B4-BE49-F238E27FC236}">
                <a16:creationId xmlns:a16="http://schemas.microsoft.com/office/drawing/2014/main" id="{05AB01F9-FB53-DCFE-0903-BB09358E5E59}"/>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D27F0285-0BD2-84B0-28FA-82B2C4ED9BF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6.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F351E83B-0E45-4D86-A798-1892D5485D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E4A2F591-9661-41CB-88A3-6F0E2726E01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A92AF108-A765-4E63-94F4-253CE21DB910}"/>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1E3BB9A7-3B9B-47AE-A71D-52A3D0CCC20B}"/>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59637AFA-F9CE-4F68-A1AB-A13344DC03CF}"/>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CFC44FB3-DF07-4B27-99CC-3303CDFD7AD4}"/>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1105B0BF-0A88-48EF-AB6A-334A72FE5DB8}"/>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69EE3BDA-7EEA-453B-B705-338E75A88275}"/>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0DDE6627-70AD-4596-B5BC-633FCB7AB909}"/>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8C0CE5CC-D557-164B-2D14-D9E401C0C057}"/>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2080E9AC-AAE0-2F91-2512-706F7966480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7.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EC5FAA2F-2A73-4C83-84AA-42D8A71548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DC6449BC-35C0-465A-B21D-3EE3176FA3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71795679-E14D-44A2-AD0C-DCE4E275BD45}"/>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145541C1-C709-40BE-8616-C24A8643F005}"/>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AD92BFBB-BDE9-430C-A2AF-4E930C3741E5}"/>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FE3A5BDD-73A8-4B86-B46F-CE4EE8A920AD}"/>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59A1C90F-10D7-435F-BFBB-3670B3A3FBA7}"/>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EB13F05F-ED3B-40CD-B3F5-99D54F888894}"/>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E59228D1-D217-4BD4-86C4-991C9B1AA045}"/>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B2AB09F6-A3E7-ACB0-CA80-A54A551DA5A0}"/>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DCAF6B37-C392-3CEA-5B46-36E8148173B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8.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2E606A7E-738A-4E11-9459-6DCAE7D875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A6F0DE93-E15D-4818-8BEB-9783733CB35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4E362A31-724A-42D3-BEBA-E87624122BF9}"/>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1F7EED1D-ABB4-4A1C-9DBA-29A89D494C89}"/>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FA9ACFBB-0DA8-4CE5-ACDF-F3AB12600596}"/>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F3F4E3D2-467E-4022-96CF-196B7F8BEC34}"/>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5D12465D-07F0-4E69-A621-19D2FC07FF02}"/>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140ABD00-B226-4279-8A51-F63F2C09C4F8}"/>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2093C110-75A4-4F65-B4A5-B71347DFC064}"/>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D0645FAA-3D49-4977-ECB9-560A715862CD}"/>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F7ABF7E6-1307-483E-544D-8B222B36929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59.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87BFEA55-A39C-481D-A01B-762C315BE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F883BC7D-4A6E-40E8-AFA5-74391094A4B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76A93B3D-39B7-4819-9057-B4DA1FBF62DA}"/>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78E885BF-3F79-43D0-8463-FCD353B0535C}"/>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516E76D5-E4D5-4B38-9CB4-DE2AF95EAEA5}"/>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0AEF50B6-0157-4BF3-A39C-15E7D0EE30CE}"/>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1E9848D5-4F68-4C6F-98B4-E0A05CB17FBB}"/>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A9EF7106-3CC1-4DEE-B83A-123C6C46224C}"/>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720A472D-9631-49DA-90A5-DD47B7499280}"/>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7DC57064-9D41-FD9D-7F0B-A93D9D18A080}"/>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F04B89D9-B293-DEA1-EE4A-E6FC6AC3731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95250</xdr:colOff>
      <xdr:row>1</xdr:row>
      <xdr:rowOff>54428</xdr:rowOff>
    </xdr:from>
    <xdr:to>
      <xdr:col>2</xdr:col>
      <xdr:colOff>1041942</xdr:colOff>
      <xdr:row>3</xdr:row>
      <xdr:rowOff>242582</xdr:rowOff>
    </xdr:to>
    <xdr:pic>
      <xdr:nvPicPr>
        <xdr:cNvPr id="2" name="Imagem 1">
          <a:extLst>
            <a:ext uri="{FF2B5EF4-FFF2-40B4-BE49-F238E27FC236}">
              <a16:creationId xmlns:a16="http://schemas.microsoft.com/office/drawing/2014/main" id="{47F35766-6703-479A-8F07-5232A355B7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97303"/>
          <a:ext cx="946692" cy="988254"/>
        </a:xfrm>
        <a:prstGeom prst="rect">
          <a:avLst/>
        </a:prstGeom>
      </xdr:spPr>
    </xdr:pic>
    <xdr:clientData/>
  </xdr:twoCellAnchor>
  <xdr:oneCellAnchor>
    <xdr:from>
      <xdr:col>17</xdr:col>
      <xdr:colOff>949347</xdr:colOff>
      <xdr:row>0</xdr:row>
      <xdr:rowOff>56904</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BBC91251-7FA5-440A-954C-71A1146ED51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046597" y="56904"/>
          <a:ext cx="646896" cy="677573"/>
        </a:xfrm>
        <a:prstGeom prst="rect">
          <a:avLst/>
        </a:prstGeom>
      </xdr:spPr>
    </xdr:pic>
    <xdr:clientData/>
  </xdr:oneCellAnchor>
  <xdr:oneCellAnchor>
    <xdr:from>
      <xdr:col>10</xdr:col>
      <xdr:colOff>152433</xdr:colOff>
      <xdr:row>26</xdr:row>
      <xdr:rowOff>144853</xdr:rowOff>
    </xdr:from>
    <xdr:ext cx="981901" cy="1261613"/>
    <xdr:pic>
      <xdr:nvPicPr>
        <xdr:cNvPr id="4" name="Imagen 12">
          <a:extLst>
            <a:ext uri="{FF2B5EF4-FFF2-40B4-BE49-F238E27FC236}">
              <a16:creationId xmlns:a16="http://schemas.microsoft.com/office/drawing/2014/main" id="{750AD9B6-A7B8-4682-9B97-832DF4EA5A6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flipH="1">
          <a:off x="5514086" y="11129329"/>
          <a:ext cx="981901" cy="1261613"/>
        </a:xfrm>
        <a:prstGeom prst="rect">
          <a:avLst/>
        </a:prstGeom>
      </xdr:spPr>
    </xdr:pic>
    <xdr:clientData/>
  </xdr:oneCellAnchor>
  <xdr:oneCellAnchor>
    <xdr:from>
      <xdr:col>10</xdr:col>
      <xdr:colOff>1258307</xdr:colOff>
      <xdr:row>26</xdr:row>
      <xdr:rowOff>151264</xdr:rowOff>
    </xdr:from>
    <xdr:ext cx="1023822" cy="1297332"/>
    <xdr:pic>
      <xdr:nvPicPr>
        <xdr:cNvPr id="5" name="Imagen 13">
          <a:extLst>
            <a:ext uri="{FF2B5EF4-FFF2-40B4-BE49-F238E27FC236}">
              <a16:creationId xmlns:a16="http://schemas.microsoft.com/office/drawing/2014/main" id="{9585CF2D-5134-4F7B-BF32-9461C0FDFE3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flipH="1">
          <a:off x="6619960" y="11135740"/>
          <a:ext cx="1023822" cy="1297332"/>
        </a:xfrm>
        <a:prstGeom prst="rect">
          <a:avLst/>
        </a:prstGeom>
      </xdr:spPr>
    </xdr:pic>
    <xdr:clientData/>
  </xdr:oneCellAnchor>
  <xdr:oneCellAnchor>
    <xdr:from>
      <xdr:col>10</xdr:col>
      <xdr:colOff>144391</xdr:colOff>
      <xdr:row>33</xdr:row>
      <xdr:rowOff>172397</xdr:rowOff>
    </xdr:from>
    <xdr:ext cx="820183" cy="1054849"/>
    <xdr:pic>
      <xdr:nvPicPr>
        <xdr:cNvPr id="6" name="Imagen 14">
          <a:extLst>
            <a:ext uri="{FF2B5EF4-FFF2-40B4-BE49-F238E27FC236}">
              <a16:creationId xmlns:a16="http://schemas.microsoft.com/office/drawing/2014/main" id="{4E452525-4ED0-46F8-952C-10FEDF7B50D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flipH="1">
          <a:off x="5506044" y="15181953"/>
          <a:ext cx="820183" cy="1054849"/>
        </a:xfrm>
        <a:prstGeom prst="rect">
          <a:avLst/>
        </a:prstGeom>
      </xdr:spPr>
    </xdr:pic>
    <xdr:clientData/>
  </xdr:oneCellAnchor>
  <xdr:oneCellAnchor>
    <xdr:from>
      <xdr:col>19</xdr:col>
      <xdr:colOff>152433</xdr:colOff>
      <xdr:row>26</xdr:row>
      <xdr:rowOff>144853</xdr:rowOff>
    </xdr:from>
    <xdr:ext cx="981901" cy="1261613"/>
    <xdr:pic>
      <xdr:nvPicPr>
        <xdr:cNvPr id="7" name="Imagen 12">
          <a:extLst>
            <a:ext uri="{FF2B5EF4-FFF2-40B4-BE49-F238E27FC236}">
              <a16:creationId xmlns:a16="http://schemas.microsoft.com/office/drawing/2014/main" id="{A81C1822-C7F0-4479-9E7C-2DA58E47C2B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flipH="1">
          <a:off x="19340699" y="11129329"/>
          <a:ext cx="981901" cy="1261613"/>
        </a:xfrm>
        <a:prstGeom prst="rect">
          <a:avLst/>
        </a:prstGeom>
      </xdr:spPr>
    </xdr:pic>
    <xdr:clientData/>
  </xdr:oneCellAnchor>
  <xdr:oneCellAnchor>
    <xdr:from>
      <xdr:col>19</xdr:col>
      <xdr:colOff>1248384</xdr:colOff>
      <xdr:row>26</xdr:row>
      <xdr:rowOff>71887</xdr:rowOff>
    </xdr:from>
    <xdr:ext cx="1109096" cy="1405387"/>
    <xdr:pic>
      <xdr:nvPicPr>
        <xdr:cNvPr id="8" name="Imagen 13">
          <a:extLst>
            <a:ext uri="{FF2B5EF4-FFF2-40B4-BE49-F238E27FC236}">
              <a16:creationId xmlns:a16="http://schemas.microsoft.com/office/drawing/2014/main" id="{4B86A85B-6AA1-4A8E-A380-944C7D90A03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20436650" y="11056363"/>
          <a:ext cx="1109096" cy="1405387"/>
        </a:xfrm>
        <a:prstGeom prst="rect">
          <a:avLst/>
        </a:prstGeom>
      </xdr:spPr>
    </xdr:pic>
    <xdr:clientData/>
  </xdr:oneCellAnchor>
  <xdr:oneCellAnchor>
    <xdr:from>
      <xdr:col>19</xdr:col>
      <xdr:colOff>152400</xdr:colOff>
      <xdr:row>35</xdr:row>
      <xdr:rowOff>53226</xdr:rowOff>
    </xdr:from>
    <xdr:ext cx="1143580" cy="1470774"/>
    <xdr:pic>
      <xdr:nvPicPr>
        <xdr:cNvPr id="9" name="Imagen 14">
          <a:extLst>
            <a:ext uri="{FF2B5EF4-FFF2-40B4-BE49-F238E27FC236}">
              <a16:creationId xmlns:a16="http://schemas.microsoft.com/office/drawing/2014/main" id="{0D61AFD5-EC24-439A-BC92-AF541C38A77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19340666" y="15523670"/>
          <a:ext cx="1143580" cy="1470774"/>
        </a:xfrm>
        <a:prstGeom prst="rect">
          <a:avLst/>
        </a:prstGeom>
      </xdr:spPr>
    </xdr:pic>
    <xdr:clientData/>
  </xdr:oneCellAnchor>
  <xdr:oneCellAnchor>
    <xdr:from>
      <xdr:col>13</xdr:col>
      <xdr:colOff>71438</xdr:colOff>
      <xdr:row>26</xdr:row>
      <xdr:rowOff>119063</xdr:rowOff>
    </xdr:from>
    <xdr:ext cx="1993565" cy="1231499"/>
    <xdr:pic>
      <xdr:nvPicPr>
        <xdr:cNvPr id="10" name="Imagem 43">
          <a:extLst>
            <a:ext uri="{FF2B5EF4-FFF2-40B4-BE49-F238E27FC236}">
              <a16:creationId xmlns:a16="http://schemas.microsoft.com/office/drawing/2014/main" id="{6AC341F9-34D1-44D7-865D-F6FEFB533600}"/>
            </a:ext>
          </a:extLst>
        </xdr:cNvPr>
        <xdr:cNvPicPr>
          <a:picLocks noChangeAspect="1"/>
        </xdr:cNvPicPr>
      </xdr:nvPicPr>
      <xdr:blipFill>
        <a:blip xmlns:r="http://schemas.openxmlformats.org/officeDocument/2006/relationships" r:embed="rId10"/>
        <a:stretch>
          <a:fillRect/>
        </a:stretch>
      </xdr:blipFill>
      <xdr:spPr>
        <a:xfrm>
          <a:off x="10041962" y="11103539"/>
          <a:ext cx="1993565" cy="1231499"/>
        </a:xfrm>
        <a:prstGeom prst="rect">
          <a:avLst/>
        </a:prstGeom>
      </xdr:spPr>
    </xdr:pic>
    <xdr:clientData/>
  </xdr:oneCellAnchor>
  <xdr:oneCellAnchor>
    <xdr:from>
      <xdr:col>16</xdr:col>
      <xdr:colOff>142875</xdr:colOff>
      <xdr:row>27</xdr:row>
      <xdr:rowOff>0</xdr:rowOff>
    </xdr:from>
    <xdr:ext cx="2771181" cy="2353260"/>
    <xdr:pic>
      <xdr:nvPicPr>
        <xdr:cNvPr id="11" name="Imagem 45">
          <a:extLst>
            <a:ext uri="{FF2B5EF4-FFF2-40B4-BE49-F238E27FC236}">
              <a16:creationId xmlns:a16="http://schemas.microsoft.com/office/drawing/2014/main" id="{F2505010-55A6-41C1-A5AE-98D142B06DE9}"/>
            </a:ext>
          </a:extLst>
        </xdr:cNvPr>
        <xdr:cNvPicPr>
          <a:picLocks noChangeAspect="1"/>
        </xdr:cNvPicPr>
      </xdr:nvPicPr>
      <xdr:blipFill>
        <a:blip xmlns:r="http://schemas.openxmlformats.org/officeDocument/2006/relationships" r:embed="rId11"/>
        <a:stretch>
          <a:fillRect/>
        </a:stretch>
      </xdr:blipFill>
      <xdr:spPr>
        <a:xfrm>
          <a:off x="14722270" y="13626895"/>
          <a:ext cx="2771181" cy="2353260"/>
        </a:xfrm>
        <a:prstGeom prst="rect">
          <a:avLst/>
        </a:prstGeom>
      </xdr:spPr>
    </xdr:pic>
    <xdr:clientData/>
  </xdr:oneCellAnchor>
  <xdr:twoCellAnchor>
    <xdr:from>
      <xdr:col>12</xdr:col>
      <xdr:colOff>264722</xdr:colOff>
      <xdr:row>1</xdr:row>
      <xdr:rowOff>176893</xdr:rowOff>
    </xdr:from>
    <xdr:to>
      <xdr:col>12</xdr:col>
      <xdr:colOff>1455965</xdr:colOff>
      <xdr:row>4</xdr:row>
      <xdr:rowOff>13608</xdr:rowOff>
    </xdr:to>
    <xdr:grpSp>
      <xdr:nvGrpSpPr>
        <xdr:cNvPr id="12" name="Group 14">
          <a:extLst>
            <a:ext uri="{FF2B5EF4-FFF2-40B4-BE49-F238E27FC236}">
              <a16:creationId xmlns:a16="http://schemas.microsoft.com/office/drawing/2014/main" id="{4D98D1F7-3A18-414D-A1DB-DFA99C1BC3CE}"/>
            </a:ext>
          </a:extLst>
        </xdr:cNvPr>
        <xdr:cNvGrpSpPr/>
      </xdr:nvGrpSpPr>
      <xdr:grpSpPr>
        <a:xfrm>
          <a:off x="8780072" y="329293"/>
          <a:ext cx="1191243" cy="1094015"/>
          <a:chOff x="1746251" y="812959"/>
          <a:chExt cx="1133423" cy="1033899"/>
        </a:xfrm>
      </xdr:grpSpPr>
      <xdr:sp macro="" textlink="">
        <xdr:nvSpPr>
          <xdr:cNvPr id="13" name="Elipse 4">
            <a:extLst>
              <a:ext uri="{FF2B5EF4-FFF2-40B4-BE49-F238E27FC236}">
                <a16:creationId xmlns:a16="http://schemas.microsoft.com/office/drawing/2014/main" id="{A960A010-327A-C783-BEEF-6C85ADCE9CC4}"/>
              </a:ext>
            </a:extLst>
          </xdr:cNvPr>
          <xdr:cNvSpPr/>
        </xdr:nvSpPr>
        <xdr:spPr>
          <a:xfrm>
            <a:off x="1766260" y="812959"/>
            <a:ext cx="1113414" cy="1033899"/>
          </a:xfrm>
          <a:prstGeom prst="ellipse">
            <a:avLst/>
          </a:prstGeom>
          <a:solidFill>
            <a:schemeClr val="bg1"/>
          </a:solid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4" name="Imagem 5">
            <a:extLst>
              <a:ext uri="{FF2B5EF4-FFF2-40B4-BE49-F238E27FC236}">
                <a16:creationId xmlns:a16="http://schemas.microsoft.com/office/drawing/2014/main" id="{C08506A3-20F1-40D2-5734-064F5F4753CA}"/>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746251" y="853022"/>
            <a:ext cx="998039" cy="933416"/>
          </a:xfrm>
          <a:prstGeom prst="rect">
            <a:avLst/>
          </a:prstGeom>
        </xdr:spPr>
      </xdr:pic>
    </xdr:grpSp>
    <xdr:clientData/>
  </xdr:twoCellAnchor>
  <xdr:twoCellAnchor>
    <xdr:from>
      <xdr:col>17</xdr:col>
      <xdr:colOff>802821</xdr:colOff>
      <xdr:row>1</xdr:row>
      <xdr:rowOff>530678</xdr:rowOff>
    </xdr:from>
    <xdr:to>
      <xdr:col>18</xdr:col>
      <xdr:colOff>190500</xdr:colOff>
      <xdr:row>2</xdr:row>
      <xdr:rowOff>244928</xdr:rowOff>
    </xdr:to>
    <xdr:sp macro="" textlink="">
      <xdr:nvSpPr>
        <xdr:cNvPr id="16" name="TextBox 18">
          <a:extLst>
            <a:ext uri="{FF2B5EF4-FFF2-40B4-BE49-F238E27FC236}">
              <a16:creationId xmlns:a16="http://schemas.microsoft.com/office/drawing/2014/main" id="{984F9BF7-9FAA-4DAB-8399-07E705B91719}"/>
            </a:ext>
          </a:extLst>
        </xdr:cNvPr>
        <xdr:cNvSpPr txBox="1"/>
      </xdr:nvSpPr>
      <xdr:spPr>
        <a:xfrm>
          <a:off x="16900071" y="673553"/>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57149</xdr:colOff>
      <xdr:row>1</xdr:row>
      <xdr:rowOff>544285</xdr:rowOff>
    </xdr:from>
    <xdr:to>
      <xdr:col>18</xdr:col>
      <xdr:colOff>1061357</xdr:colOff>
      <xdr:row>3</xdr:row>
      <xdr:rowOff>43541</xdr:rowOff>
    </xdr:to>
    <xdr:sp macro="" textlink="">
      <xdr:nvSpPr>
        <xdr:cNvPr id="17" name="TextBox 19">
          <a:extLst>
            <a:ext uri="{FF2B5EF4-FFF2-40B4-BE49-F238E27FC236}">
              <a16:creationId xmlns:a16="http://schemas.microsoft.com/office/drawing/2014/main" id="{8C0D333A-9737-47E9-82E6-5C0EDD70EB59}"/>
            </a:ext>
          </a:extLst>
        </xdr:cNvPr>
        <xdr:cNvSpPr txBox="1"/>
      </xdr:nvSpPr>
      <xdr:spPr>
        <a:xfrm>
          <a:off x="17687924" y="687160"/>
          <a:ext cx="1004208"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32656</xdr:colOff>
      <xdr:row>1</xdr:row>
      <xdr:rowOff>533399</xdr:rowOff>
    </xdr:from>
    <xdr:to>
      <xdr:col>17</xdr:col>
      <xdr:colOff>1036864</xdr:colOff>
      <xdr:row>3</xdr:row>
      <xdr:rowOff>32655</xdr:rowOff>
    </xdr:to>
    <xdr:sp macro="" textlink="">
      <xdr:nvSpPr>
        <xdr:cNvPr id="19" name="TextBox 22">
          <a:extLst>
            <a:ext uri="{FF2B5EF4-FFF2-40B4-BE49-F238E27FC236}">
              <a16:creationId xmlns:a16="http://schemas.microsoft.com/office/drawing/2014/main" id="{11DC502A-A744-4DB4-B671-111CDB516E55}"/>
            </a:ext>
          </a:extLst>
        </xdr:cNvPr>
        <xdr:cNvSpPr txBox="1"/>
      </xdr:nvSpPr>
      <xdr:spPr>
        <a:xfrm>
          <a:off x="16129906" y="676274"/>
          <a:ext cx="1004208" cy="2993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455840</xdr:colOff>
      <xdr:row>1</xdr:row>
      <xdr:rowOff>20411</xdr:rowOff>
    </xdr:from>
    <xdr:to>
      <xdr:col>18</xdr:col>
      <xdr:colOff>836840</xdr:colOff>
      <xdr:row>1</xdr:row>
      <xdr:rowOff>503467</xdr:rowOff>
    </xdr:to>
    <xdr:sp macro="" textlink="">
      <xdr:nvSpPr>
        <xdr:cNvPr id="20" name="Isosceles Triangle 23">
          <a:extLst>
            <a:ext uri="{FF2B5EF4-FFF2-40B4-BE49-F238E27FC236}">
              <a16:creationId xmlns:a16="http://schemas.microsoft.com/office/drawing/2014/main" id="{B4ACD5A6-DB03-4DC2-A4BB-B836E50D473D}"/>
            </a:ext>
          </a:extLst>
        </xdr:cNvPr>
        <xdr:cNvSpPr/>
      </xdr:nvSpPr>
      <xdr:spPr>
        <a:xfrm rot="5400000">
          <a:off x="18035587" y="214314"/>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328675</xdr:colOff>
      <xdr:row>1</xdr:row>
      <xdr:rowOff>54058</xdr:rowOff>
    </xdr:from>
    <xdr:to>
      <xdr:col>17</xdr:col>
      <xdr:colOff>709675</xdr:colOff>
      <xdr:row>1</xdr:row>
      <xdr:rowOff>537114</xdr:rowOff>
    </xdr:to>
    <xdr:sp macro="" textlink="">
      <xdr:nvSpPr>
        <xdr:cNvPr id="26" name="Isosceles Triangle 25">
          <a:extLst>
            <a:ext uri="{FF2B5EF4-FFF2-40B4-BE49-F238E27FC236}">
              <a16:creationId xmlns:a16="http://schemas.microsoft.com/office/drawing/2014/main" id="{441A5B3A-22F0-468C-A479-4D5B85359C34}"/>
            </a:ext>
          </a:extLst>
        </xdr:cNvPr>
        <xdr:cNvSpPr/>
      </xdr:nvSpPr>
      <xdr:spPr>
        <a:xfrm rot="16200000">
          <a:off x="16452829" y="243631"/>
          <a:ext cx="483056"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9</xdr:col>
      <xdr:colOff>61452</xdr:colOff>
      <xdr:row>0</xdr:row>
      <xdr:rowOff>92177</xdr:rowOff>
    </xdr:from>
    <xdr:to>
      <xdr:col>11</xdr:col>
      <xdr:colOff>445525</xdr:colOff>
      <xdr:row>1</xdr:row>
      <xdr:rowOff>399435</xdr:rowOff>
    </xdr:to>
    <xdr:sp macro="" textlink="">
      <xdr:nvSpPr>
        <xdr:cNvPr id="22" name="Retângulo 21">
          <a:hlinkClick xmlns:r="http://schemas.openxmlformats.org/officeDocument/2006/relationships" r:id="rId13"/>
          <a:extLst>
            <a:ext uri="{FF2B5EF4-FFF2-40B4-BE49-F238E27FC236}">
              <a16:creationId xmlns:a16="http://schemas.microsoft.com/office/drawing/2014/main" id="{8FE64474-23E7-4CB6-8ADE-607164C9900D}"/>
            </a:ext>
          </a:extLst>
        </xdr:cNvPr>
        <xdr:cNvSpPr/>
      </xdr:nvSpPr>
      <xdr:spPr>
        <a:xfrm>
          <a:off x="5284839" y="92177"/>
          <a:ext cx="2058630" cy="4455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INSTRUÇÕES</a:t>
          </a:r>
        </a:p>
      </xdr:txBody>
    </xdr:sp>
    <xdr:clientData/>
  </xdr:twoCellAnchor>
  <xdr:twoCellAnchor>
    <xdr:from>
      <xdr:col>15</xdr:col>
      <xdr:colOff>1444113</xdr:colOff>
      <xdr:row>1</xdr:row>
      <xdr:rowOff>1</xdr:rowOff>
    </xdr:from>
    <xdr:to>
      <xdr:col>17</xdr:col>
      <xdr:colOff>134812</xdr:colOff>
      <xdr:row>2</xdr:row>
      <xdr:rowOff>106471</xdr:rowOff>
    </xdr:to>
    <xdr:sp macro="" textlink="">
      <xdr:nvSpPr>
        <xdr:cNvPr id="23" name="Retângulo 22">
          <a:hlinkClick xmlns:r="http://schemas.openxmlformats.org/officeDocument/2006/relationships" r:id="rId14"/>
          <a:extLst>
            <a:ext uri="{FF2B5EF4-FFF2-40B4-BE49-F238E27FC236}">
              <a16:creationId xmlns:a16="http://schemas.microsoft.com/office/drawing/2014/main" id="{26160EC0-5022-4A10-B5F7-1CC1AFDA70E0}"/>
            </a:ext>
          </a:extLst>
        </xdr:cNvPr>
        <xdr:cNvSpPr/>
      </xdr:nvSpPr>
      <xdr:spPr>
        <a:xfrm>
          <a:off x="14487218" y="138267"/>
          <a:ext cx="1763279" cy="65953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RESUMO</a:t>
          </a:r>
          <a:r>
            <a:rPr lang="pt-BR" sz="1800" baseline="0">
              <a:solidFill>
                <a:sysClr val="windowText" lastClr="000000"/>
              </a:solidFill>
              <a:latin typeface="Century Gothic" panose="020B0502020202020204" pitchFamily="34" charset="0"/>
            </a:rPr>
            <a:t> DOS ITENS</a:t>
          </a:r>
          <a:endParaRPr lang="pt-BR" sz="1800">
            <a:solidFill>
              <a:sysClr val="windowText" lastClr="000000"/>
            </a:solidFill>
            <a:latin typeface="Century Gothic" panose="020B0502020202020204" pitchFamily="34" charset="0"/>
          </a:endParaRPr>
        </a:p>
      </xdr:txBody>
    </xdr:sp>
    <xdr:clientData/>
  </xdr:twoCellAnchor>
</xdr:wsDr>
</file>

<file path=xl/drawings/drawing60.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6FF1E364-8EF2-4389-BCDA-5D8F1B3B8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CDF76654-6290-49DB-9C0B-2087991CB19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BC3E9816-BFDF-439F-8D4C-4B3FD663820E}"/>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DE4228FD-9709-4F2A-848E-D9E07A1462A6}"/>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EEDA0FBD-6030-45C9-A5E5-187480E72364}"/>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0CD6ACE6-2438-4FA1-9437-3B15229E6FC4}"/>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CD13BB88-FFF1-4E2A-9AF4-206655B9B7D4}"/>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A3CE7DF5-6851-42A7-8076-C4BEA57BA8E0}"/>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64BFDA8D-4CCD-432F-BAE7-732A78EC1CD2}"/>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7AE33A71-C388-ED2A-2704-51DA9886CAD2}"/>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A1FE2AD2-C2A2-0171-23EE-89A07D05ABF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61.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64783B44-2277-4D0A-83C4-59B34B488E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CA0D7497-DE47-4E77-9756-59BE3FBECB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77248C1D-B3DE-4135-ADDA-4242AFC1F5F9}"/>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6323F583-335F-4607-A590-3BCC5E3DE5BD}"/>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96729C10-B7EC-432E-94C1-0611AFC6A152}"/>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4537A154-FDF4-4A77-BEB6-8E7DBEFCFCBF}"/>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C5E90627-C991-4679-A484-A1081B21B38C}"/>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551B94F9-85C8-4E11-B230-332BF4656913}"/>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349250</xdr:colOff>
      <xdr:row>1</xdr:row>
      <xdr:rowOff>428626</xdr:rowOff>
    </xdr:from>
    <xdr:to>
      <xdr:col>10</xdr:col>
      <xdr:colOff>1412875</xdr:colOff>
      <xdr:row>4</xdr:row>
      <xdr:rowOff>142875</xdr:rowOff>
    </xdr:to>
    <xdr:grpSp>
      <xdr:nvGrpSpPr>
        <xdr:cNvPr id="10" name="Agrupar 9">
          <a:hlinkClick xmlns:r="http://schemas.openxmlformats.org/officeDocument/2006/relationships" r:id="rId8"/>
          <a:extLst>
            <a:ext uri="{FF2B5EF4-FFF2-40B4-BE49-F238E27FC236}">
              <a16:creationId xmlns:a16="http://schemas.microsoft.com/office/drawing/2014/main" id="{AB9075E7-C6B1-4A75-B7FD-B9CB99B9DEDA}"/>
            </a:ext>
          </a:extLst>
        </xdr:cNvPr>
        <xdr:cNvGrpSpPr/>
      </xdr:nvGrpSpPr>
      <xdr:grpSpPr>
        <a:xfrm>
          <a:off x="5778500" y="581026"/>
          <a:ext cx="1063625" cy="971549"/>
          <a:chOff x="5615420" y="476250"/>
          <a:chExt cx="909205" cy="829829"/>
        </a:xfrm>
      </xdr:grpSpPr>
      <xdr:sp macro="" textlink="">
        <xdr:nvSpPr>
          <xdr:cNvPr id="11" name="Elipse 10">
            <a:extLst>
              <a:ext uri="{FF2B5EF4-FFF2-40B4-BE49-F238E27FC236}">
                <a16:creationId xmlns:a16="http://schemas.microsoft.com/office/drawing/2014/main" id="{5E250D84-E8B5-5724-7BAD-C0B872160AA4}"/>
              </a:ext>
            </a:extLst>
          </xdr:cNvPr>
          <xdr:cNvSpPr/>
        </xdr:nvSpPr>
        <xdr:spPr>
          <a:xfrm>
            <a:off x="5615420"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25A850FF-74A2-4FD4-9BD2-9A644B8E57CC}"/>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715000" y="523876"/>
            <a:ext cx="714375" cy="713042"/>
          </a:xfrm>
          <a:prstGeom prst="rect">
            <a:avLst/>
          </a:prstGeom>
        </xdr:spPr>
      </xdr:pic>
    </xdr:grpSp>
    <xdr:clientData/>
  </xdr:twoCellAnchor>
</xdr:wsDr>
</file>

<file path=xl/drawings/drawing62.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54DBA651-B2F5-42D1-9EB1-4803705EC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F221CD66-918F-4236-BAF3-184CD30FEF7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24E86D95-B6CF-4C32-B08D-519C91A4DCBC}"/>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42CD547A-8CC1-4F8B-81B5-04F5EF051F59}"/>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0C850EFF-4C70-47F9-B163-A9CA4B0E0DB3}"/>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3630DC5E-012A-49F4-98A1-B8B96C087FC7}"/>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66C5A44C-8DF7-44BB-9E81-B511F03E3262}"/>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A4ADB8D8-50FA-4D6E-9268-B593D6E45DD0}"/>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3" name="Agrupar 12">
          <a:hlinkClick xmlns:r="http://schemas.openxmlformats.org/officeDocument/2006/relationships" r:id="rId8"/>
          <a:extLst>
            <a:ext uri="{FF2B5EF4-FFF2-40B4-BE49-F238E27FC236}">
              <a16:creationId xmlns:a16="http://schemas.microsoft.com/office/drawing/2014/main" id="{67AEFC84-5A2D-4498-BB54-E022B9A5EF37}"/>
            </a:ext>
          </a:extLst>
        </xdr:cNvPr>
        <xdr:cNvGrpSpPr/>
      </xdr:nvGrpSpPr>
      <xdr:grpSpPr>
        <a:xfrm>
          <a:off x="5600700" y="533400"/>
          <a:ext cx="1200150" cy="1009650"/>
          <a:chOff x="5155045" y="476250"/>
          <a:chExt cx="909205" cy="829829"/>
        </a:xfrm>
      </xdr:grpSpPr>
      <xdr:sp macro="" textlink="">
        <xdr:nvSpPr>
          <xdr:cNvPr id="14" name="Elipse 13">
            <a:extLst>
              <a:ext uri="{FF2B5EF4-FFF2-40B4-BE49-F238E27FC236}">
                <a16:creationId xmlns:a16="http://schemas.microsoft.com/office/drawing/2014/main" id="{EE144190-FFB1-4A7B-CD4C-6498AF8A7033}"/>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14">
            <a:extLst>
              <a:ext uri="{FF2B5EF4-FFF2-40B4-BE49-F238E27FC236}">
                <a16:creationId xmlns:a16="http://schemas.microsoft.com/office/drawing/2014/main" id="{46755C9F-F520-A7C9-0A8E-5D899FF6F59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63.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7F0D5862-EA3B-4445-8085-0EE2947B5F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73E7FCC2-A3C5-449C-93A6-9CE3DEC7DD1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92E7C7F3-9127-4D38-A197-0E7A73B414D2}"/>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0F5936CF-2F8A-484B-A3CE-E8624673E0BD}"/>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780030EA-DB45-46E3-85CF-D3A168E12CE0}"/>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1A89B467-3245-4EFE-934C-4A137C6E8C88}"/>
            </a:ext>
          </a:extLst>
        </xdr:cNvPr>
        <xdr:cNvSpPr/>
      </xdr:nvSpPr>
      <xdr:spPr>
        <a:xfrm rot="5400000">
          <a:off x="18445997" y="159868"/>
          <a:ext cx="497190"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73AE0B3B-BEB4-4656-91F4-2EF4847759DF}"/>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B6682A44-A4CB-4169-9152-3FF4DC914F9C}"/>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0" name="Agrupar 9">
          <a:hlinkClick xmlns:r="http://schemas.openxmlformats.org/officeDocument/2006/relationships" r:id="rId8"/>
          <a:extLst>
            <a:ext uri="{FF2B5EF4-FFF2-40B4-BE49-F238E27FC236}">
              <a16:creationId xmlns:a16="http://schemas.microsoft.com/office/drawing/2014/main" id="{D1759092-3FE9-45EA-B14B-D5EB59D4A9E8}"/>
            </a:ext>
          </a:extLst>
        </xdr:cNvPr>
        <xdr:cNvGrpSpPr/>
      </xdr:nvGrpSpPr>
      <xdr:grpSpPr>
        <a:xfrm>
          <a:off x="5600700" y="533400"/>
          <a:ext cx="1200150" cy="1009650"/>
          <a:chOff x="5155045" y="476250"/>
          <a:chExt cx="909205" cy="829829"/>
        </a:xfrm>
      </xdr:grpSpPr>
      <xdr:sp macro="" textlink="">
        <xdr:nvSpPr>
          <xdr:cNvPr id="11" name="Elipse 10">
            <a:extLst>
              <a:ext uri="{FF2B5EF4-FFF2-40B4-BE49-F238E27FC236}">
                <a16:creationId xmlns:a16="http://schemas.microsoft.com/office/drawing/2014/main" id="{3056BEAA-AD5C-66F7-FF2D-0E25AC871B65}"/>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621BC2E3-572E-4F2D-AA7F-0F90A21E0963}"/>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64.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A771CAEC-125E-4D1D-8853-3A43374BA0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49D21715-AD0E-427E-827E-C29AE96D140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47D15B10-3B61-4183-8A86-86E764B6106D}"/>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525BEC70-3454-43AC-B960-B8312B97BCD6}"/>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BFD7DB2C-DACE-4AC9-99BC-AC73C3E85A41}"/>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extLst>
            <a:ext uri="{FF2B5EF4-FFF2-40B4-BE49-F238E27FC236}">
              <a16:creationId xmlns:a16="http://schemas.microsoft.com/office/drawing/2014/main" id="{C9E85A07-6476-4A2B-8F18-C6D77498C074}"/>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extLst>
            <a:ext uri="{FF2B5EF4-FFF2-40B4-BE49-F238E27FC236}">
              <a16:creationId xmlns:a16="http://schemas.microsoft.com/office/drawing/2014/main" id="{21749A8B-AEB9-45C5-B8F7-0E68D73755BC}"/>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5"/>
          <a:extLst>
            <a:ext uri="{FF2B5EF4-FFF2-40B4-BE49-F238E27FC236}">
              <a16:creationId xmlns:a16="http://schemas.microsoft.com/office/drawing/2014/main" id="{FF2EF6DD-20CE-4177-BB96-CD106E59AF4F}"/>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0" name="Agrupar 9">
          <a:hlinkClick xmlns:r="http://schemas.openxmlformats.org/officeDocument/2006/relationships" r:id="rId6"/>
          <a:extLst>
            <a:ext uri="{FF2B5EF4-FFF2-40B4-BE49-F238E27FC236}">
              <a16:creationId xmlns:a16="http://schemas.microsoft.com/office/drawing/2014/main" id="{6758493C-23EA-4DCC-B8CB-0F4A71857C2A}"/>
            </a:ext>
          </a:extLst>
        </xdr:cNvPr>
        <xdr:cNvGrpSpPr/>
      </xdr:nvGrpSpPr>
      <xdr:grpSpPr>
        <a:xfrm>
          <a:off x="5600700" y="533400"/>
          <a:ext cx="1200150" cy="1009650"/>
          <a:chOff x="5155045" y="476250"/>
          <a:chExt cx="909205" cy="829829"/>
        </a:xfrm>
      </xdr:grpSpPr>
      <xdr:sp macro="" textlink="">
        <xdr:nvSpPr>
          <xdr:cNvPr id="11" name="Elipse 10">
            <a:extLst>
              <a:ext uri="{FF2B5EF4-FFF2-40B4-BE49-F238E27FC236}">
                <a16:creationId xmlns:a16="http://schemas.microsoft.com/office/drawing/2014/main" id="{CF19BDEE-B415-4569-16EB-2D4B3EFFD775}"/>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4A4EF299-B744-B638-C767-B8A6E4B765E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65.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E7DC61F8-C3A0-4D99-8B01-060C223661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7A5A976E-2DD6-49A2-9221-ADB6D9CF10A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70658E77-57BE-462A-AA69-60C9E8841B68}"/>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DEB793B8-B854-49B3-AD5D-C17B80329F63}"/>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E938AD97-24B9-4FA6-AF7E-F4AE887F7603}"/>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A2E7650F-2855-4479-BAC8-642E0C2335AE}"/>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D1DC58C4-D657-4726-8741-81ADC05555FE}"/>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91C7DB93-04C3-41DF-825A-697CF60217C5}"/>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0" name="Agrupar 9">
          <a:hlinkClick xmlns:r="http://schemas.openxmlformats.org/officeDocument/2006/relationships" r:id="rId8"/>
          <a:extLst>
            <a:ext uri="{FF2B5EF4-FFF2-40B4-BE49-F238E27FC236}">
              <a16:creationId xmlns:a16="http://schemas.microsoft.com/office/drawing/2014/main" id="{4B821038-69DD-47FF-9394-7B4E7CD42C0E}"/>
            </a:ext>
          </a:extLst>
        </xdr:cNvPr>
        <xdr:cNvGrpSpPr/>
      </xdr:nvGrpSpPr>
      <xdr:grpSpPr>
        <a:xfrm>
          <a:off x="5600700" y="533400"/>
          <a:ext cx="1200150" cy="1009650"/>
          <a:chOff x="5155045" y="476250"/>
          <a:chExt cx="909205" cy="829829"/>
        </a:xfrm>
      </xdr:grpSpPr>
      <xdr:sp macro="" textlink="">
        <xdr:nvSpPr>
          <xdr:cNvPr id="11" name="Elipse 10">
            <a:extLst>
              <a:ext uri="{FF2B5EF4-FFF2-40B4-BE49-F238E27FC236}">
                <a16:creationId xmlns:a16="http://schemas.microsoft.com/office/drawing/2014/main" id="{F8D0E68A-D5F8-C647-F4D1-5B1119DE6342}"/>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CA14F29A-CE70-E27F-9253-7543E5B58D6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66.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AEB2C2F7-737C-4EEE-B802-4407EDDC67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29D381FC-99A4-42DA-A8F1-B2590A811A9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51EDA173-62BE-4A54-AB7F-22118D469DBC}"/>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9BB57AB0-3EA2-4B9E-9965-D5A5A8DA20D7}"/>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9F46E2BC-20C9-45BC-A165-046DF38EFB2B}"/>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44B4B1DB-CAA5-4555-B683-352A66E6C2D6}"/>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79C38356-5AD3-420C-86D3-B55A99966912}"/>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54A76FD3-FCF3-4648-9C47-7E8BC881F602}"/>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0" name="Agrupar 9">
          <a:hlinkClick xmlns:r="http://schemas.openxmlformats.org/officeDocument/2006/relationships" r:id="rId8"/>
          <a:extLst>
            <a:ext uri="{FF2B5EF4-FFF2-40B4-BE49-F238E27FC236}">
              <a16:creationId xmlns:a16="http://schemas.microsoft.com/office/drawing/2014/main" id="{D56A7533-36AC-426A-915C-D9B2BCA7285C}"/>
            </a:ext>
          </a:extLst>
        </xdr:cNvPr>
        <xdr:cNvGrpSpPr/>
      </xdr:nvGrpSpPr>
      <xdr:grpSpPr>
        <a:xfrm>
          <a:off x="5600700" y="533400"/>
          <a:ext cx="1200150" cy="1009650"/>
          <a:chOff x="5155045" y="476250"/>
          <a:chExt cx="909205" cy="829829"/>
        </a:xfrm>
      </xdr:grpSpPr>
      <xdr:sp macro="" textlink="">
        <xdr:nvSpPr>
          <xdr:cNvPr id="11" name="Elipse 10">
            <a:extLst>
              <a:ext uri="{FF2B5EF4-FFF2-40B4-BE49-F238E27FC236}">
                <a16:creationId xmlns:a16="http://schemas.microsoft.com/office/drawing/2014/main" id="{45C3E28C-0E7E-A6CD-C46C-BC30B5C859DC}"/>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96E6B7EC-41A2-1DC5-4C15-A5C93188348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67.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EE6A2257-3128-4FC7-9FFE-6E3948F661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A80B3212-A2D4-4E75-9A86-3FF010F932D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83BF8EB5-A20D-46A3-8BF4-95062AC2036C}"/>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E72C801C-D2A5-4F9C-B26D-88D45F5A5EE7}"/>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C0C24162-64BA-4273-AB1A-6AFC6B169978}"/>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1123950</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EBAF17B2-0145-4E10-9C99-4FD928E545AF}"/>
            </a:ext>
          </a:extLst>
        </xdr:cNvPr>
        <xdr:cNvSpPr/>
      </xdr:nvSpPr>
      <xdr:spPr>
        <a:xfrm rot="5400000">
          <a:off x="18452251" y="153614"/>
          <a:ext cx="497190" cy="393508"/>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BE7C4FAB-D912-4ED5-9005-28D0B6C8F0A0}"/>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DDED4B08-C746-464A-B082-85358B19DDF9}"/>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0" name="Agrupar 9">
          <a:hlinkClick xmlns:r="http://schemas.openxmlformats.org/officeDocument/2006/relationships" r:id="rId8"/>
          <a:extLst>
            <a:ext uri="{FF2B5EF4-FFF2-40B4-BE49-F238E27FC236}">
              <a16:creationId xmlns:a16="http://schemas.microsoft.com/office/drawing/2014/main" id="{BF99E200-D4A3-4434-B296-E08208B3D5CD}"/>
            </a:ext>
          </a:extLst>
        </xdr:cNvPr>
        <xdr:cNvGrpSpPr/>
      </xdr:nvGrpSpPr>
      <xdr:grpSpPr>
        <a:xfrm>
          <a:off x="5600700" y="533400"/>
          <a:ext cx="1200150" cy="1009650"/>
          <a:chOff x="5155045" y="476250"/>
          <a:chExt cx="909205" cy="829829"/>
        </a:xfrm>
      </xdr:grpSpPr>
      <xdr:sp macro="" textlink="">
        <xdr:nvSpPr>
          <xdr:cNvPr id="11" name="Elipse 10">
            <a:extLst>
              <a:ext uri="{FF2B5EF4-FFF2-40B4-BE49-F238E27FC236}">
                <a16:creationId xmlns:a16="http://schemas.microsoft.com/office/drawing/2014/main" id="{C52D802B-C9E0-5EB5-8569-DE6D07B3258F}"/>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D8D88B3D-B225-CD08-3AC8-80CA1E567D5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68.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41629C77-1A92-4550-89A1-2D983912A0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B1B4B4F0-357E-4536-A192-776006C99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45F7F7C2-6765-4284-8405-E1094A38F85D}"/>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5BE4ADC9-D537-460B-A9AA-EFE150219FE0}"/>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48F089D6-88AE-4961-9604-B1A61911C975}"/>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BFD1512F-6F04-4514-8E73-16AD3870D9D3}"/>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5DFD3DE7-343F-46C9-BAC3-7B97ABF33387}"/>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8EF5A073-E8E9-4000-A478-E798273EBE6D}"/>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0" name="Agrupar 9">
          <a:hlinkClick xmlns:r="http://schemas.openxmlformats.org/officeDocument/2006/relationships" r:id="rId8"/>
          <a:extLst>
            <a:ext uri="{FF2B5EF4-FFF2-40B4-BE49-F238E27FC236}">
              <a16:creationId xmlns:a16="http://schemas.microsoft.com/office/drawing/2014/main" id="{6B6D9B21-D29A-4AD5-A71B-FA62D1B6EF39}"/>
            </a:ext>
          </a:extLst>
        </xdr:cNvPr>
        <xdr:cNvGrpSpPr/>
      </xdr:nvGrpSpPr>
      <xdr:grpSpPr>
        <a:xfrm>
          <a:off x="5600700" y="533400"/>
          <a:ext cx="1200150" cy="1009650"/>
          <a:chOff x="5155045" y="476250"/>
          <a:chExt cx="909205" cy="829829"/>
        </a:xfrm>
      </xdr:grpSpPr>
      <xdr:sp macro="" textlink="">
        <xdr:nvSpPr>
          <xdr:cNvPr id="11" name="Elipse 10">
            <a:extLst>
              <a:ext uri="{FF2B5EF4-FFF2-40B4-BE49-F238E27FC236}">
                <a16:creationId xmlns:a16="http://schemas.microsoft.com/office/drawing/2014/main" id="{C5AAA9EE-2991-40D4-7D34-B9520EE1EB30}"/>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1420E3FF-5EA2-70A5-EBB2-C48688646E2A}"/>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69.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C2165C42-8D15-4B27-A9A9-8CC091685C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489AB3C6-4361-4421-8B3E-76208AEE9F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556353F1-FC2E-474C-BBEF-27E04FF3C0C9}"/>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3CA5E74A-1E9F-4E79-9F58-22959A542270}"/>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0D5DBA1E-B637-4148-925A-5133B30A8817}"/>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7FF066CF-6A0D-4351-A24B-DD3057E9C67B}"/>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19570590-A0BC-42B9-9EDF-0B6CDE89A5CA}"/>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B4622E6F-4F5F-480A-9502-914BC84EC626}"/>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0" name="Agrupar 9">
          <a:hlinkClick xmlns:r="http://schemas.openxmlformats.org/officeDocument/2006/relationships" r:id="rId8"/>
          <a:extLst>
            <a:ext uri="{FF2B5EF4-FFF2-40B4-BE49-F238E27FC236}">
              <a16:creationId xmlns:a16="http://schemas.microsoft.com/office/drawing/2014/main" id="{C83F51F5-D0A3-499A-8D73-ACA896C67242}"/>
            </a:ext>
          </a:extLst>
        </xdr:cNvPr>
        <xdr:cNvGrpSpPr/>
      </xdr:nvGrpSpPr>
      <xdr:grpSpPr>
        <a:xfrm>
          <a:off x="5600700" y="533400"/>
          <a:ext cx="1200150" cy="1009650"/>
          <a:chOff x="5155045" y="476250"/>
          <a:chExt cx="909205" cy="829829"/>
        </a:xfrm>
      </xdr:grpSpPr>
      <xdr:sp macro="" textlink="">
        <xdr:nvSpPr>
          <xdr:cNvPr id="11" name="Elipse 10">
            <a:extLst>
              <a:ext uri="{FF2B5EF4-FFF2-40B4-BE49-F238E27FC236}">
                <a16:creationId xmlns:a16="http://schemas.microsoft.com/office/drawing/2014/main" id="{B797A380-8EF9-69D9-4E3A-61CB9D6E93E5}"/>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C7778581-830F-265C-521E-B4CF4E9A6D48}"/>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155864</xdr:colOff>
      <xdr:row>0</xdr:row>
      <xdr:rowOff>51955</xdr:rowOff>
    </xdr:from>
    <xdr:to>
      <xdr:col>25</xdr:col>
      <xdr:colOff>1194955</xdr:colOff>
      <xdr:row>2</xdr:row>
      <xdr:rowOff>363682</xdr:rowOff>
    </xdr:to>
    <xdr:grpSp>
      <xdr:nvGrpSpPr>
        <xdr:cNvPr id="171" name="Agrupar 2">
          <a:extLst>
            <a:ext uri="{FF2B5EF4-FFF2-40B4-BE49-F238E27FC236}">
              <a16:creationId xmlns:a16="http://schemas.microsoft.com/office/drawing/2014/main" id="{1C095A14-5115-71F8-DB21-8EFD87681944}"/>
            </a:ext>
          </a:extLst>
        </xdr:cNvPr>
        <xdr:cNvGrpSpPr/>
      </xdr:nvGrpSpPr>
      <xdr:grpSpPr>
        <a:xfrm>
          <a:off x="17162598" y="51955"/>
          <a:ext cx="1039091" cy="1003058"/>
          <a:chOff x="21197455" y="95624"/>
          <a:chExt cx="1145098" cy="1203240"/>
        </a:xfrm>
      </xdr:grpSpPr>
      <xdr:pic>
        <xdr:nvPicPr>
          <xdr:cNvPr id="172" name="Gráfico 7" descr="Início com preenchimento sólido">
            <a:hlinkClick xmlns:r="http://schemas.openxmlformats.org/officeDocument/2006/relationships" r:id="rId1"/>
            <a:extLst>
              <a:ext uri="{FF2B5EF4-FFF2-40B4-BE49-F238E27FC236}">
                <a16:creationId xmlns:a16="http://schemas.microsoft.com/office/drawing/2014/main" id="{0107294C-87F6-4C38-8E12-974B27C8F76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332579" y="95624"/>
            <a:ext cx="900752" cy="943467"/>
          </a:xfrm>
          <a:prstGeom prst="rect">
            <a:avLst/>
          </a:prstGeom>
        </xdr:spPr>
      </xdr:pic>
      <xdr:sp macro="" textlink="">
        <xdr:nvSpPr>
          <xdr:cNvPr id="173" name="TextBox 18">
            <a:extLst>
              <a:ext uri="{FF2B5EF4-FFF2-40B4-BE49-F238E27FC236}">
                <a16:creationId xmlns:a16="http://schemas.microsoft.com/office/drawing/2014/main" id="{48AFC0B1-0400-4EBC-BD6E-085DA8C5E212}"/>
              </a:ext>
            </a:extLst>
          </xdr:cNvPr>
          <xdr:cNvSpPr txBox="1"/>
        </xdr:nvSpPr>
        <xdr:spPr>
          <a:xfrm>
            <a:off x="21197455" y="923546"/>
            <a:ext cx="1145098" cy="37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solidFill>
                  <a:schemeClr val="tx1">
                    <a:lumMod val="75000"/>
                    <a:lumOff val="25000"/>
                  </a:schemeClr>
                </a:solidFill>
                <a:latin typeface="Century Gothic" panose="020B0502020202020204" pitchFamily="34" charset="0"/>
              </a:rPr>
              <a:t>Inicio</a:t>
            </a:r>
          </a:p>
        </xdr:txBody>
      </xdr:sp>
    </xdr:grpSp>
    <xdr:clientData/>
  </xdr:twoCellAnchor>
  <xdr:twoCellAnchor editAs="oneCell">
    <xdr:from>
      <xdr:col>1</xdr:col>
      <xdr:colOff>329047</xdr:colOff>
      <xdr:row>1</xdr:row>
      <xdr:rowOff>103909</xdr:rowOff>
    </xdr:from>
    <xdr:to>
      <xdr:col>2</xdr:col>
      <xdr:colOff>64655</xdr:colOff>
      <xdr:row>2</xdr:row>
      <xdr:rowOff>534547</xdr:rowOff>
    </xdr:to>
    <xdr:pic>
      <xdr:nvPicPr>
        <xdr:cNvPr id="140" name="Imagem 9">
          <a:extLst>
            <a:ext uri="{FF2B5EF4-FFF2-40B4-BE49-F238E27FC236}">
              <a16:creationId xmlns:a16="http://schemas.microsoft.com/office/drawing/2014/main" id="{2AC89EEA-AA42-4019-AD1E-E86F64ABB0F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2229" y="242454"/>
          <a:ext cx="761999" cy="983088"/>
        </a:xfrm>
        <a:prstGeom prst="rect">
          <a:avLst/>
        </a:prstGeom>
      </xdr:spPr>
    </xdr:pic>
    <xdr:clientData/>
  </xdr:twoCellAnchor>
  <xdr:twoCellAnchor>
    <xdr:from>
      <xdr:col>5</xdr:col>
      <xdr:colOff>196274</xdr:colOff>
      <xdr:row>1</xdr:row>
      <xdr:rowOff>158751</xdr:rowOff>
    </xdr:from>
    <xdr:to>
      <xdr:col>5</xdr:col>
      <xdr:colOff>1238250</xdr:colOff>
      <xdr:row>3</xdr:row>
      <xdr:rowOff>51955</xdr:rowOff>
    </xdr:to>
    <xdr:grpSp>
      <xdr:nvGrpSpPr>
        <xdr:cNvPr id="184" name="Agrupar 183">
          <a:extLst>
            <a:ext uri="{FF2B5EF4-FFF2-40B4-BE49-F238E27FC236}">
              <a16:creationId xmlns:a16="http://schemas.microsoft.com/office/drawing/2014/main" id="{2B55590D-F0F8-6BE7-53A8-BEAB9AB9CBDB}"/>
            </a:ext>
          </a:extLst>
        </xdr:cNvPr>
        <xdr:cNvGrpSpPr/>
      </xdr:nvGrpSpPr>
      <xdr:grpSpPr>
        <a:xfrm>
          <a:off x="5020226" y="297017"/>
          <a:ext cx="1041976" cy="999333"/>
          <a:chOff x="4883728" y="173182"/>
          <a:chExt cx="1143001" cy="1125682"/>
        </a:xfrm>
      </xdr:grpSpPr>
      <xdr:sp macro="" textlink="">
        <xdr:nvSpPr>
          <xdr:cNvPr id="181" name="Elipse 180">
            <a:extLst>
              <a:ext uri="{FF2B5EF4-FFF2-40B4-BE49-F238E27FC236}">
                <a16:creationId xmlns:a16="http://schemas.microsoft.com/office/drawing/2014/main" id="{9D154636-08F0-41D7-07F3-D50D2EF05DE5}"/>
              </a:ext>
            </a:extLst>
          </xdr:cNvPr>
          <xdr:cNvSpPr/>
        </xdr:nvSpPr>
        <xdr:spPr>
          <a:xfrm>
            <a:off x="4883728" y="207819"/>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83" name="Imagem 182">
            <a:extLst>
              <a:ext uri="{FF2B5EF4-FFF2-40B4-BE49-F238E27FC236}">
                <a16:creationId xmlns:a16="http://schemas.microsoft.com/office/drawing/2014/main" id="{7A3760EE-0DF2-48FC-AE49-80EA195062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935682" y="173182"/>
            <a:ext cx="995267" cy="1116156"/>
          </a:xfrm>
          <a:prstGeom prst="rect">
            <a:avLst/>
          </a:prstGeom>
        </xdr:spPr>
      </xdr:pic>
    </xdr:grpSp>
    <xdr:clientData/>
  </xdr:twoCellAnchor>
  <xdr:twoCellAnchor>
    <xdr:from>
      <xdr:col>25</xdr:col>
      <xdr:colOff>1350819</xdr:colOff>
      <xdr:row>1</xdr:row>
      <xdr:rowOff>207819</xdr:rowOff>
    </xdr:from>
    <xdr:to>
      <xdr:col>27</xdr:col>
      <xdr:colOff>478848</xdr:colOff>
      <xdr:row>2</xdr:row>
      <xdr:rowOff>311729</xdr:rowOff>
    </xdr:to>
    <xdr:sp macro="" textlink="">
      <xdr:nvSpPr>
        <xdr:cNvPr id="9" name="Retângulo 8">
          <a:hlinkClick xmlns:r="http://schemas.openxmlformats.org/officeDocument/2006/relationships" r:id="rId6"/>
          <a:extLst>
            <a:ext uri="{FF2B5EF4-FFF2-40B4-BE49-F238E27FC236}">
              <a16:creationId xmlns:a16="http://schemas.microsoft.com/office/drawing/2014/main" id="{C73BB759-FF4A-4FD6-83BA-C9EC57E71AFF}"/>
            </a:ext>
          </a:extLst>
        </xdr:cNvPr>
        <xdr:cNvSpPr/>
      </xdr:nvSpPr>
      <xdr:spPr>
        <a:xfrm>
          <a:off x="18513137" y="346364"/>
          <a:ext cx="1777711" cy="658092"/>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RESUMO</a:t>
          </a:r>
          <a:r>
            <a:rPr lang="pt-BR" sz="1800" baseline="0">
              <a:solidFill>
                <a:sysClr val="windowText" lastClr="000000"/>
              </a:solidFill>
              <a:latin typeface="Century Gothic" panose="020B0502020202020204" pitchFamily="34" charset="0"/>
            </a:rPr>
            <a:t> DOS ITENS</a:t>
          </a:r>
          <a:endParaRPr lang="pt-BR" sz="1800">
            <a:solidFill>
              <a:sysClr val="windowText" lastClr="000000"/>
            </a:solidFill>
            <a:latin typeface="Century Gothic" panose="020B0502020202020204" pitchFamily="34" charset="0"/>
          </a:endParaRPr>
        </a:p>
      </xdr:txBody>
    </xdr:sp>
    <xdr:clientData/>
  </xdr:twoCellAnchor>
</xdr:wsDr>
</file>

<file path=xl/drawings/drawing70.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54E3C0B8-E023-460E-ABC7-D284BB1B9B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0C565E97-27E5-4AC0-858F-8B51CFE1402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D8FFB527-984C-4D51-A18F-AF74649FCE4B}"/>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3F9CA260-C07A-4F9B-804A-F4614F1FF5B3}"/>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59C81CE3-7AC5-45BC-9D1B-ABF341569D15}"/>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F3FBD1C6-E08B-463A-9206-DACBBE4BE1F3}"/>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EC49750E-C60D-442B-AA2B-B065C588B0F8}"/>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3296508E-C17A-4DC1-A5D6-33517C1CC6BD}"/>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0" name="Agrupar 9">
          <a:hlinkClick xmlns:r="http://schemas.openxmlformats.org/officeDocument/2006/relationships" r:id="rId8"/>
          <a:extLst>
            <a:ext uri="{FF2B5EF4-FFF2-40B4-BE49-F238E27FC236}">
              <a16:creationId xmlns:a16="http://schemas.microsoft.com/office/drawing/2014/main" id="{C68AA024-AAD0-4C22-BCA1-BFBC4F05E42A}"/>
            </a:ext>
          </a:extLst>
        </xdr:cNvPr>
        <xdr:cNvGrpSpPr/>
      </xdr:nvGrpSpPr>
      <xdr:grpSpPr>
        <a:xfrm>
          <a:off x="5600700" y="533400"/>
          <a:ext cx="1200150" cy="1009650"/>
          <a:chOff x="5155045" y="476250"/>
          <a:chExt cx="909205" cy="829829"/>
        </a:xfrm>
      </xdr:grpSpPr>
      <xdr:sp macro="" textlink="">
        <xdr:nvSpPr>
          <xdr:cNvPr id="11" name="Elipse 10">
            <a:extLst>
              <a:ext uri="{FF2B5EF4-FFF2-40B4-BE49-F238E27FC236}">
                <a16:creationId xmlns:a16="http://schemas.microsoft.com/office/drawing/2014/main" id="{CA7821C4-2FDF-93BE-AD76-1040AE05F9B5}"/>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5667AD84-0FA0-7892-A89D-58B570FA73C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71.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C8A87065-F914-4070-AF49-1C99B082BE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F1614DB5-809C-4C7B-8F5D-9F5DFAD497F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158853B8-87C6-4A74-9BD9-268898C136A2}"/>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61619258-99C3-4A73-8598-21C3D03C67AF}"/>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9F550512-86E5-49C5-ACB7-B584648E234A}"/>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8CC8D387-23F0-4261-821A-D61068ECFB53}"/>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extLst>
            <a:ext uri="{FF2B5EF4-FFF2-40B4-BE49-F238E27FC236}">
              <a16:creationId xmlns:a16="http://schemas.microsoft.com/office/drawing/2014/main" id="{51D5A77B-3383-4AA7-8FA9-F3400A7E4A59}"/>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6"/>
          <a:extLst>
            <a:ext uri="{FF2B5EF4-FFF2-40B4-BE49-F238E27FC236}">
              <a16:creationId xmlns:a16="http://schemas.microsoft.com/office/drawing/2014/main" id="{195228CC-B3F9-4AB0-9657-B9803D6485A9}"/>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171450</xdr:colOff>
      <xdr:row>1</xdr:row>
      <xdr:rowOff>381000</xdr:rowOff>
    </xdr:from>
    <xdr:to>
      <xdr:col>10</xdr:col>
      <xdr:colOff>1371600</xdr:colOff>
      <xdr:row>4</xdr:row>
      <xdr:rowOff>133350</xdr:rowOff>
    </xdr:to>
    <xdr:grpSp>
      <xdr:nvGrpSpPr>
        <xdr:cNvPr id="10" name="Agrupar 9">
          <a:hlinkClick xmlns:r="http://schemas.openxmlformats.org/officeDocument/2006/relationships" r:id="rId7"/>
          <a:extLst>
            <a:ext uri="{FF2B5EF4-FFF2-40B4-BE49-F238E27FC236}">
              <a16:creationId xmlns:a16="http://schemas.microsoft.com/office/drawing/2014/main" id="{B4ADE91D-997D-4CC5-B260-72F059783554}"/>
            </a:ext>
          </a:extLst>
        </xdr:cNvPr>
        <xdr:cNvGrpSpPr/>
      </xdr:nvGrpSpPr>
      <xdr:grpSpPr>
        <a:xfrm>
          <a:off x="5600700" y="533400"/>
          <a:ext cx="1200150" cy="1009650"/>
          <a:chOff x="5155045" y="476250"/>
          <a:chExt cx="909205" cy="829829"/>
        </a:xfrm>
      </xdr:grpSpPr>
      <xdr:sp macro="" textlink="">
        <xdr:nvSpPr>
          <xdr:cNvPr id="11" name="Elipse 10">
            <a:extLst>
              <a:ext uri="{FF2B5EF4-FFF2-40B4-BE49-F238E27FC236}">
                <a16:creationId xmlns:a16="http://schemas.microsoft.com/office/drawing/2014/main" id="{89E7EA04-6FCB-B16D-D2F2-41897B1055DA}"/>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768292BD-EBD9-A24A-A54B-560DCA7149B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207001" y="476250"/>
            <a:ext cx="779328" cy="777875"/>
          </a:xfrm>
          <a:prstGeom prst="rect">
            <a:avLst/>
          </a:prstGeom>
        </xdr:spPr>
      </xdr:pic>
    </xdr:grpSp>
    <xdr:clientData/>
  </xdr:twoCellAnchor>
</xdr:wsDr>
</file>

<file path=xl/drawings/drawing72.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EDA46251-16DB-402A-8106-BDCD02A166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AA8E2804-125E-42D5-BC13-DA9CEC4ABFB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7149DCC8-0B9F-4AD9-9BCB-97AC553865EA}"/>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69D810FD-1C2D-42D4-8A3B-81C72554A1BC}"/>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3D7020C7-CDBA-4C38-AEDB-FCB719926E0D}"/>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2E67B9FD-BFC0-43D9-A0EF-AA3E56EB3EDC}"/>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330A32C0-A68F-40C4-A412-FA13F6072F96}"/>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D418BD24-2ED1-4EA3-A772-431576240C16}"/>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266700</xdr:colOff>
      <xdr:row>1</xdr:row>
      <xdr:rowOff>323850</xdr:rowOff>
    </xdr:from>
    <xdr:to>
      <xdr:col>10</xdr:col>
      <xdr:colOff>1367367</xdr:colOff>
      <xdr:row>4</xdr:row>
      <xdr:rowOff>103717</xdr:rowOff>
    </xdr:to>
    <xdr:grpSp>
      <xdr:nvGrpSpPr>
        <xdr:cNvPr id="13" name="Agrupar 12">
          <a:hlinkClick xmlns:r="http://schemas.openxmlformats.org/officeDocument/2006/relationships" r:id="rId8"/>
          <a:extLst>
            <a:ext uri="{FF2B5EF4-FFF2-40B4-BE49-F238E27FC236}">
              <a16:creationId xmlns:a16="http://schemas.microsoft.com/office/drawing/2014/main" id="{FEEB8DD6-FA2D-42AA-BDEF-D3F1A98A22E5}"/>
            </a:ext>
          </a:extLst>
        </xdr:cNvPr>
        <xdr:cNvGrpSpPr/>
      </xdr:nvGrpSpPr>
      <xdr:grpSpPr>
        <a:xfrm>
          <a:off x="5695950" y="476250"/>
          <a:ext cx="1100667" cy="1037167"/>
          <a:chOff x="5155045" y="476250"/>
          <a:chExt cx="909205" cy="829829"/>
        </a:xfrm>
      </xdr:grpSpPr>
      <xdr:sp macro="" textlink="">
        <xdr:nvSpPr>
          <xdr:cNvPr id="14" name="Elipse 13">
            <a:extLst>
              <a:ext uri="{FF2B5EF4-FFF2-40B4-BE49-F238E27FC236}">
                <a16:creationId xmlns:a16="http://schemas.microsoft.com/office/drawing/2014/main" id="{2EFF1D9F-C63E-FA42-21A9-F626AAABDD76}"/>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5" name="Imagem 14">
            <a:extLst>
              <a:ext uri="{FF2B5EF4-FFF2-40B4-BE49-F238E27FC236}">
                <a16:creationId xmlns:a16="http://schemas.microsoft.com/office/drawing/2014/main" id="{64171D3C-E3CC-5F96-B765-A80603568ADD}"/>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0201" t="20238" r="20387" b="22619"/>
          <a:stretch/>
        </xdr:blipFill>
        <xdr:spPr>
          <a:xfrm>
            <a:off x="5270500" y="571500"/>
            <a:ext cx="677995" cy="650875"/>
          </a:xfrm>
          <a:prstGeom prst="rect">
            <a:avLst/>
          </a:prstGeom>
        </xdr:spPr>
      </xdr:pic>
    </xdr:grpSp>
    <xdr:clientData/>
  </xdr:twoCellAnchor>
</xdr:wsDr>
</file>

<file path=xl/drawings/drawing73.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6266DCFB-9DE4-44BE-BD76-091CB1BD72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D2FD9372-D190-49B7-8E5B-8B8FE180C1C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B9491D25-C3EF-4423-B2AC-BF0DFFA1BE0E}"/>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73D0AC06-E0A5-4C0A-B6CB-6C898F9F0247}"/>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F8B7859D-0B18-43B4-82E3-7EFA4CB3FA08}"/>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A6557E24-2240-4B84-980A-7BFFC367C925}"/>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6FBB0882-323C-4C63-A583-D5EE24858F03}"/>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57150</xdr:colOff>
      <xdr:row>1</xdr:row>
      <xdr:rowOff>0</xdr:rowOff>
    </xdr:from>
    <xdr:to>
      <xdr:col>11</xdr:col>
      <xdr:colOff>427088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A502CF68-E81A-47AF-8053-2A5D7ED47185}"/>
            </a:ext>
          </a:extLst>
        </xdr:cNvPr>
        <xdr:cNvSpPr/>
      </xdr:nvSpPr>
      <xdr:spPr>
        <a:xfrm>
          <a:off x="5486400" y="152400"/>
          <a:ext cx="1912988"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266700</xdr:colOff>
      <xdr:row>1</xdr:row>
      <xdr:rowOff>323850</xdr:rowOff>
    </xdr:from>
    <xdr:to>
      <xdr:col>10</xdr:col>
      <xdr:colOff>1367367</xdr:colOff>
      <xdr:row>4</xdr:row>
      <xdr:rowOff>103717</xdr:rowOff>
    </xdr:to>
    <xdr:grpSp>
      <xdr:nvGrpSpPr>
        <xdr:cNvPr id="10" name="Agrupar 9">
          <a:hlinkClick xmlns:r="http://schemas.openxmlformats.org/officeDocument/2006/relationships" r:id="rId8"/>
          <a:extLst>
            <a:ext uri="{FF2B5EF4-FFF2-40B4-BE49-F238E27FC236}">
              <a16:creationId xmlns:a16="http://schemas.microsoft.com/office/drawing/2014/main" id="{B68FC89D-3F88-491F-AE12-8975E4233540}"/>
            </a:ext>
          </a:extLst>
        </xdr:cNvPr>
        <xdr:cNvGrpSpPr/>
      </xdr:nvGrpSpPr>
      <xdr:grpSpPr>
        <a:xfrm>
          <a:off x="5695950" y="476250"/>
          <a:ext cx="1100667" cy="1037167"/>
          <a:chOff x="5155045" y="476250"/>
          <a:chExt cx="909205" cy="829829"/>
        </a:xfrm>
      </xdr:grpSpPr>
      <xdr:sp macro="" textlink="">
        <xdr:nvSpPr>
          <xdr:cNvPr id="11" name="Elipse 10">
            <a:extLst>
              <a:ext uri="{FF2B5EF4-FFF2-40B4-BE49-F238E27FC236}">
                <a16:creationId xmlns:a16="http://schemas.microsoft.com/office/drawing/2014/main" id="{A186CCA4-AC8B-8A91-69BB-C1A1A58DAB93}"/>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3EE6CD72-9F9F-E753-B2E5-1F7BC4996F56}"/>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0201" t="20238" r="20387" b="22619"/>
          <a:stretch/>
        </xdr:blipFill>
        <xdr:spPr>
          <a:xfrm>
            <a:off x="5270500" y="571500"/>
            <a:ext cx="677995" cy="650875"/>
          </a:xfrm>
          <a:prstGeom prst="rect">
            <a:avLst/>
          </a:prstGeom>
        </xdr:spPr>
      </xdr:pic>
    </xdr:grpSp>
    <xdr:clientData/>
  </xdr:twoCellAnchor>
</xdr:wsDr>
</file>

<file path=xl/drawings/drawing74.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D30DE74D-F706-457F-8A81-4CF7024D5C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A461EB65-47BC-4483-93FF-6683535F793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62FADA36-F930-45F9-B693-EF8768C7DFF2}"/>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AAFED98A-AADB-42CD-A577-05674AF988B3}"/>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6C511000-DB99-42ED-ACEB-5E1A609FF5AA}"/>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207E6AA9-A3B0-47B9-B557-0AF3E480A18E}"/>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9A053F3D-DEDC-4DD4-BD3D-077453849281}"/>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82E069CE-0D97-4BAF-9FB2-BCDF4F1148A3}"/>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266700</xdr:colOff>
      <xdr:row>1</xdr:row>
      <xdr:rowOff>323850</xdr:rowOff>
    </xdr:from>
    <xdr:to>
      <xdr:col>10</xdr:col>
      <xdr:colOff>1367367</xdr:colOff>
      <xdr:row>4</xdr:row>
      <xdr:rowOff>103717</xdr:rowOff>
    </xdr:to>
    <xdr:grpSp>
      <xdr:nvGrpSpPr>
        <xdr:cNvPr id="10" name="Agrupar 9">
          <a:hlinkClick xmlns:r="http://schemas.openxmlformats.org/officeDocument/2006/relationships" r:id="rId8"/>
          <a:extLst>
            <a:ext uri="{FF2B5EF4-FFF2-40B4-BE49-F238E27FC236}">
              <a16:creationId xmlns:a16="http://schemas.microsoft.com/office/drawing/2014/main" id="{ACA7F33F-933C-465D-BCDD-F6305445324F}"/>
            </a:ext>
          </a:extLst>
        </xdr:cNvPr>
        <xdr:cNvGrpSpPr/>
      </xdr:nvGrpSpPr>
      <xdr:grpSpPr>
        <a:xfrm>
          <a:off x="5695950" y="476250"/>
          <a:ext cx="1100667" cy="1037167"/>
          <a:chOff x="5155045" y="476250"/>
          <a:chExt cx="909205" cy="829829"/>
        </a:xfrm>
      </xdr:grpSpPr>
      <xdr:sp macro="" textlink="">
        <xdr:nvSpPr>
          <xdr:cNvPr id="11" name="Elipse 10">
            <a:extLst>
              <a:ext uri="{FF2B5EF4-FFF2-40B4-BE49-F238E27FC236}">
                <a16:creationId xmlns:a16="http://schemas.microsoft.com/office/drawing/2014/main" id="{4D6ADFED-49A7-8B2C-5317-0E4497551F7F}"/>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9CDE1A46-EB08-14F5-D6C3-46F454F3F5BE}"/>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0201" t="20238" r="20387" b="22619"/>
          <a:stretch/>
        </xdr:blipFill>
        <xdr:spPr>
          <a:xfrm>
            <a:off x="5270500" y="571500"/>
            <a:ext cx="677995" cy="650875"/>
          </a:xfrm>
          <a:prstGeom prst="rect">
            <a:avLst/>
          </a:prstGeom>
        </xdr:spPr>
      </xdr:pic>
    </xdr:grpSp>
    <xdr:clientData/>
  </xdr:twoCellAnchor>
</xdr:wsDr>
</file>

<file path=xl/drawings/drawing75.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28C0290E-0293-418B-981E-49D851216A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797A7353-2EA6-4E0A-957E-A8320FFF1D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F5F87761-9ABA-4EDE-A3EF-7A02C7DA80E0}"/>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18</xdr:col>
      <xdr:colOff>331751</xdr:colOff>
      <xdr:row>1</xdr:row>
      <xdr:rowOff>487381</xdr:rowOff>
    </xdr:from>
    <xdr:to>
      <xdr:col>18</xdr:col>
      <xdr:colOff>1335959</xdr:colOff>
      <xdr:row>2</xdr:row>
      <xdr:rowOff>232443</xdr:rowOff>
    </xdr:to>
    <xdr:sp macro="" textlink="">
      <xdr:nvSpPr>
        <xdr:cNvPr id="5" name="TextBox 19">
          <a:extLst>
            <a:ext uri="{FF2B5EF4-FFF2-40B4-BE49-F238E27FC236}">
              <a16:creationId xmlns:a16="http://schemas.microsoft.com/office/drawing/2014/main" id="{619EC7AB-1FF0-42DF-B861-2A471B85B628}"/>
            </a:ext>
          </a:extLst>
        </xdr:cNvPr>
        <xdr:cNvSpPr txBox="1"/>
      </xdr:nvSpPr>
      <xdr:spPr>
        <a:xfrm>
          <a:off x="17962526" y="630256"/>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Seguinte</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D410A272-2A0E-4328-8EC2-740A583F0843}"/>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18</xdr:col>
      <xdr:colOff>730442</xdr:colOff>
      <xdr:row>0</xdr:row>
      <xdr:rowOff>101773</xdr:rowOff>
    </xdr:from>
    <xdr:to>
      <xdr:col>18</xdr:col>
      <xdr:colOff>1111442</xdr:colOff>
      <xdr:row>1</xdr:row>
      <xdr:rowOff>446563</xdr:rowOff>
    </xdr:to>
    <xdr:sp macro="" textlink="">
      <xdr:nvSpPr>
        <xdr:cNvPr id="7" name="Isosceles Triangle 23">
          <a:hlinkClick xmlns:r="http://schemas.openxmlformats.org/officeDocument/2006/relationships" r:id="rId5"/>
          <a:extLst>
            <a:ext uri="{FF2B5EF4-FFF2-40B4-BE49-F238E27FC236}">
              <a16:creationId xmlns:a16="http://schemas.microsoft.com/office/drawing/2014/main" id="{56E27284-5E01-48AA-B288-5F601E77263A}"/>
            </a:ext>
          </a:extLst>
        </xdr:cNvPr>
        <xdr:cNvSpPr/>
      </xdr:nvSpPr>
      <xdr:spPr>
        <a:xfrm rot="5400000">
          <a:off x="18307884" y="155106"/>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6"/>
          <a:extLst>
            <a:ext uri="{FF2B5EF4-FFF2-40B4-BE49-F238E27FC236}">
              <a16:creationId xmlns:a16="http://schemas.microsoft.com/office/drawing/2014/main" id="{20F63871-7B79-4C40-BA8B-A99D5E19D4D6}"/>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7"/>
          <a:extLst>
            <a:ext uri="{FF2B5EF4-FFF2-40B4-BE49-F238E27FC236}">
              <a16:creationId xmlns:a16="http://schemas.microsoft.com/office/drawing/2014/main" id="{36EFDF38-B613-47D5-90D2-B7C6C6AE0058}"/>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266700</xdr:colOff>
      <xdr:row>1</xdr:row>
      <xdr:rowOff>323850</xdr:rowOff>
    </xdr:from>
    <xdr:to>
      <xdr:col>10</xdr:col>
      <xdr:colOff>1367367</xdr:colOff>
      <xdr:row>4</xdr:row>
      <xdr:rowOff>103717</xdr:rowOff>
    </xdr:to>
    <xdr:grpSp>
      <xdr:nvGrpSpPr>
        <xdr:cNvPr id="10" name="Agrupar 9">
          <a:hlinkClick xmlns:r="http://schemas.openxmlformats.org/officeDocument/2006/relationships" r:id="rId8"/>
          <a:extLst>
            <a:ext uri="{FF2B5EF4-FFF2-40B4-BE49-F238E27FC236}">
              <a16:creationId xmlns:a16="http://schemas.microsoft.com/office/drawing/2014/main" id="{F18C1B6D-22AC-453F-8D2A-A5E6A12755C0}"/>
            </a:ext>
          </a:extLst>
        </xdr:cNvPr>
        <xdr:cNvGrpSpPr/>
      </xdr:nvGrpSpPr>
      <xdr:grpSpPr>
        <a:xfrm>
          <a:off x="5695950" y="476250"/>
          <a:ext cx="1100667" cy="1037167"/>
          <a:chOff x="5155045" y="476250"/>
          <a:chExt cx="909205" cy="829829"/>
        </a:xfrm>
      </xdr:grpSpPr>
      <xdr:sp macro="" textlink="">
        <xdr:nvSpPr>
          <xdr:cNvPr id="11" name="Elipse 10">
            <a:extLst>
              <a:ext uri="{FF2B5EF4-FFF2-40B4-BE49-F238E27FC236}">
                <a16:creationId xmlns:a16="http://schemas.microsoft.com/office/drawing/2014/main" id="{4CC7C021-38A2-194C-A35D-A32536F7D71C}"/>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3DCFF86E-5695-F520-41CC-308E31CA4AEF}"/>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0201" t="20238" r="20387" b="22619"/>
          <a:stretch/>
        </xdr:blipFill>
        <xdr:spPr>
          <a:xfrm>
            <a:off x="5270500" y="571500"/>
            <a:ext cx="677995" cy="650875"/>
          </a:xfrm>
          <a:prstGeom prst="rect">
            <a:avLst/>
          </a:prstGeom>
        </xdr:spPr>
      </xdr:pic>
    </xdr:grpSp>
    <xdr:clientData/>
  </xdr:twoCellAnchor>
</xdr:wsDr>
</file>

<file path=xl/drawings/drawing76.xml><?xml version="1.0" encoding="utf-8"?>
<xdr:wsDr xmlns:xdr="http://schemas.openxmlformats.org/drawingml/2006/spreadsheetDrawing" xmlns:a="http://schemas.openxmlformats.org/drawingml/2006/main">
  <xdr:twoCellAnchor editAs="oneCell">
    <xdr:from>
      <xdr:col>2</xdr:col>
      <xdr:colOff>168992</xdr:colOff>
      <xdr:row>1</xdr:row>
      <xdr:rowOff>76814</xdr:rowOff>
    </xdr:from>
    <xdr:to>
      <xdr:col>2</xdr:col>
      <xdr:colOff>1115684</xdr:colOff>
      <xdr:row>3</xdr:row>
      <xdr:rowOff>264968</xdr:rowOff>
    </xdr:to>
    <xdr:pic>
      <xdr:nvPicPr>
        <xdr:cNvPr id="2" name="Imagem 1">
          <a:extLst>
            <a:ext uri="{FF2B5EF4-FFF2-40B4-BE49-F238E27FC236}">
              <a16:creationId xmlns:a16="http://schemas.microsoft.com/office/drawing/2014/main" id="{2858BEE4-3851-4101-A59C-6E27F95EC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9042" y="219689"/>
          <a:ext cx="946692" cy="988254"/>
        </a:xfrm>
        <a:prstGeom prst="rect">
          <a:avLst/>
        </a:prstGeom>
      </xdr:spPr>
    </xdr:pic>
    <xdr:clientData/>
  </xdr:twoCellAnchor>
  <xdr:oneCellAnchor>
    <xdr:from>
      <xdr:col>17</xdr:col>
      <xdr:colOff>1223949</xdr:colOff>
      <xdr:row>0</xdr:row>
      <xdr:rowOff>0</xdr:rowOff>
    </xdr:from>
    <xdr:ext cx="646896" cy="677573"/>
    <xdr:pic>
      <xdr:nvPicPr>
        <xdr:cNvPr id="3" name="Gráfico 2" descr="Início com preenchimento sólido">
          <a:hlinkClick xmlns:r="http://schemas.openxmlformats.org/officeDocument/2006/relationships" r:id="rId2"/>
          <a:extLst>
            <a:ext uri="{FF2B5EF4-FFF2-40B4-BE49-F238E27FC236}">
              <a16:creationId xmlns:a16="http://schemas.microsoft.com/office/drawing/2014/main" id="{E1D42324-BD13-450E-BAD9-FA43E023583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7321199" y="0"/>
          <a:ext cx="646896" cy="677573"/>
        </a:xfrm>
        <a:prstGeom prst="rect">
          <a:avLst/>
        </a:prstGeom>
      </xdr:spPr>
    </xdr:pic>
    <xdr:clientData/>
  </xdr:oneCellAnchor>
  <xdr:twoCellAnchor>
    <xdr:from>
      <xdr:col>17</xdr:col>
      <xdr:colOff>1077423</xdr:colOff>
      <xdr:row>1</xdr:row>
      <xdr:rowOff>473774</xdr:rowOff>
    </xdr:from>
    <xdr:to>
      <xdr:col>18</xdr:col>
      <xdr:colOff>465102</xdr:colOff>
      <xdr:row>2</xdr:row>
      <xdr:rowOff>188024</xdr:rowOff>
    </xdr:to>
    <xdr:sp macro="" textlink="">
      <xdr:nvSpPr>
        <xdr:cNvPr id="4" name="TextBox 18">
          <a:extLst>
            <a:ext uri="{FF2B5EF4-FFF2-40B4-BE49-F238E27FC236}">
              <a16:creationId xmlns:a16="http://schemas.microsoft.com/office/drawing/2014/main" id="{B05F9416-1331-4465-8352-D794234BD1B1}"/>
            </a:ext>
          </a:extLst>
        </xdr:cNvPr>
        <xdr:cNvSpPr txBox="1"/>
      </xdr:nvSpPr>
      <xdr:spPr>
        <a:xfrm>
          <a:off x="17174673" y="616649"/>
          <a:ext cx="921204"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Inicio</a:t>
          </a:r>
        </a:p>
      </xdr:txBody>
    </xdr:sp>
    <xdr:clientData/>
  </xdr:twoCellAnchor>
  <xdr:twoCellAnchor>
    <xdr:from>
      <xdr:col>17</xdr:col>
      <xdr:colOff>307258</xdr:colOff>
      <xdr:row>1</xdr:row>
      <xdr:rowOff>476495</xdr:rowOff>
    </xdr:from>
    <xdr:to>
      <xdr:col>17</xdr:col>
      <xdr:colOff>1311466</xdr:colOff>
      <xdr:row>2</xdr:row>
      <xdr:rowOff>221557</xdr:rowOff>
    </xdr:to>
    <xdr:sp macro="" textlink="">
      <xdr:nvSpPr>
        <xdr:cNvPr id="6" name="TextBox 22">
          <a:extLst>
            <a:ext uri="{FF2B5EF4-FFF2-40B4-BE49-F238E27FC236}">
              <a16:creationId xmlns:a16="http://schemas.microsoft.com/office/drawing/2014/main" id="{D28A9264-9AE1-4EB4-9E25-06A36C9C389E}"/>
            </a:ext>
          </a:extLst>
        </xdr:cNvPr>
        <xdr:cNvSpPr txBox="1"/>
      </xdr:nvSpPr>
      <xdr:spPr>
        <a:xfrm>
          <a:off x="16404508" y="619370"/>
          <a:ext cx="1004208" cy="297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200">
              <a:solidFill>
                <a:schemeClr val="tx1">
                  <a:lumMod val="75000"/>
                  <a:lumOff val="25000"/>
                </a:schemeClr>
              </a:solidFill>
              <a:latin typeface="Century Gothic" panose="020B0502020202020204" pitchFamily="34" charset="0"/>
            </a:rPr>
            <a:t>Anterior</a:t>
          </a:r>
        </a:p>
      </xdr:txBody>
    </xdr:sp>
    <xdr:clientData/>
  </xdr:twoCellAnchor>
  <xdr:twoCellAnchor>
    <xdr:from>
      <xdr:col>17</xdr:col>
      <xdr:colOff>603277</xdr:colOff>
      <xdr:row>0</xdr:row>
      <xdr:rowOff>135420</xdr:rowOff>
    </xdr:from>
    <xdr:to>
      <xdr:col>17</xdr:col>
      <xdr:colOff>984277</xdr:colOff>
      <xdr:row>1</xdr:row>
      <xdr:rowOff>480210</xdr:rowOff>
    </xdr:to>
    <xdr:sp macro="" textlink="">
      <xdr:nvSpPr>
        <xdr:cNvPr id="8" name="Isosceles Triangle 25">
          <a:hlinkClick xmlns:r="http://schemas.openxmlformats.org/officeDocument/2006/relationships" r:id="rId5"/>
          <a:extLst>
            <a:ext uri="{FF2B5EF4-FFF2-40B4-BE49-F238E27FC236}">
              <a16:creationId xmlns:a16="http://schemas.microsoft.com/office/drawing/2014/main" id="{173994D8-24D4-4C4A-9079-CB1C3F95B3CF}"/>
            </a:ext>
          </a:extLst>
        </xdr:cNvPr>
        <xdr:cNvSpPr/>
      </xdr:nvSpPr>
      <xdr:spPr>
        <a:xfrm rot="16200000">
          <a:off x="16647194" y="188753"/>
          <a:ext cx="487665" cy="381000"/>
        </a:xfrm>
        <a:prstGeom prst="triangle">
          <a:avLst/>
        </a:prstGeom>
        <a:solidFill>
          <a:schemeClr val="tx1">
            <a:lumMod val="75000"/>
            <a:lumOff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MX" sz="1100">
            <a:solidFill>
              <a:schemeClr val="lt1"/>
            </a:solidFill>
            <a:latin typeface="+mn-lt"/>
            <a:ea typeface="+mn-ea"/>
            <a:cs typeface="+mn-cs"/>
          </a:endParaRPr>
        </a:p>
      </xdr:txBody>
    </xdr:sp>
    <xdr:clientData/>
  </xdr:twoCellAnchor>
  <xdr:twoCellAnchor>
    <xdr:from>
      <xdr:col>10</xdr:col>
      <xdr:colOff>0</xdr:colOff>
      <xdr:row>1</xdr:row>
      <xdr:rowOff>0</xdr:rowOff>
    </xdr:from>
    <xdr:to>
      <xdr:col>11</xdr:col>
      <xdr:colOff>369938</xdr:colOff>
      <xdr:row>1</xdr:row>
      <xdr:rowOff>293124</xdr:rowOff>
    </xdr:to>
    <xdr:sp macro="" textlink="">
      <xdr:nvSpPr>
        <xdr:cNvPr id="9" name="Retângulo 8">
          <a:hlinkClick xmlns:r="http://schemas.openxmlformats.org/officeDocument/2006/relationships" r:id="rId6"/>
          <a:extLst>
            <a:ext uri="{FF2B5EF4-FFF2-40B4-BE49-F238E27FC236}">
              <a16:creationId xmlns:a16="http://schemas.microsoft.com/office/drawing/2014/main" id="{98109CCF-5CBB-4FBA-9A25-79EF79BFD291}"/>
            </a:ext>
          </a:extLst>
        </xdr:cNvPr>
        <xdr:cNvSpPr/>
      </xdr:nvSpPr>
      <xdr:spPr>
        <a:xfrm>
          <a:off x="5362575" y="142875"/>
          <a:ext cx="1903463" cy="293124"/>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600" b="1">
              <a:solidFill>
                <a:sysClr val="windowText" lastClr="000000"/>
              </a:solidFill>
              <a:latin typeface="Century Gothic" panose="020B0502020202020204" pitchFamily="34" charset="0"/>
            </a:rPr>
            <a:t>INSTRUÇÕES</a:t>
          </a:r>
        </a:p>
      </xdr:txBody>
    </xdr:sp>
    <xdr:clientData/>
  </xdr:twoCellAnchor>
  <xdr:twoCellAnchor>
    <xdr:from>
      <xdr:col>10</xdr:col>
      <xdr:colOff>266700</xdr:colOff>
      <xdr:row>1</xdr:row>
      <xdr:rowOff>323850</xdr:rowOff>
    </xdr:from>
    <xdr:to>
      <xdr:col>10</xdr:col>
      <xdr:colOff>1367367</xdr:colOff>
      <xdr:row>4</xdr:row>
      <xdr:rowOff>103717</xdr:rowOff>
    </xdr:to>
    <xdr:grpSp>
      <xdr:nvGrpSpPr>
        <xdr:cNvPr id="10" name="Agrupar 9">
          <a:hlinkClick xmlns:r="http://schemas.openxmlformats.org/officeDocument/2006/relationships" r:id="rId7"/>
          <a:extLst>
            <a:ext uri="{FF2B5EF4-FFF2-40B4-BE49-F238E27FC236}">
              <a16:creationId xmlns:a16="http://schemas.microsoft.com/office/drawing/2014/main" id="{59506959-2396-45EC-A805-B9613811695E}"/>
            </a:ext>
          </a:extLst>
        </xdr:cNvPr>
        <xdr:cNvGrpSpPr/>
      </xdr:nvGrpSpPr>
      <xdr:grpSpPr>
        <a:xfrm>
          <a:off x="5695950" y="476250"/>
          <a:ext cx="1100667" cy="1037167"/>
          <a:chOff x="5155045" y="476250"/>
          <a:chExt cx="909205" cy="829829"/>
        </a:xfrm>
      </xdr:grpSpPr>
      <xdr:sp macro="" textlink="">
        <xdr:nvSpPr>
          <xdr:cNvPr id="11" name="Elipse 10">
            <a:extLst>
              <a:ext uri="{FF2B5EF4-FFF2-40B4-BE49-F238E27FC236}">
                <a16:creationId xmlns:a16="http://schemas.microsoft.com/office/drawing/2014/main" id="{75406FB0-3D85-EAC4-B3E7-B2F09F9F2D77}"/>
              </a:ext>
            </a:extLst>
          </xdr:cNvPr>
          <xdr:cNvSpPr/>
        </xdr:nvSpPr>
        <xdr:spPr>
          <a:xfrm>
            <a:off x="5155045" y="476250"/>
            <a:ext cx="909205" cy="829829"/>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EB16C970-B906-A865-FD30-E53FF05823B6}"/>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0201" t="20238" r="20387" b="22619"/>
          <a:stretch/>
        </xdr:blipFill>
        <xdr:spPr>
          <a:xfrm>
            <a:off x="5270500" y="571500"/>
            <a:ext cx="677995" cy="650875"/>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25</xdr:col>
      <xdr:colOff>155865</xdr:colOff>
      <xdr:row>0</xdr:row>
      <xdr:rowOff>51955</xdr:rowOff>
    </xdr:from>
    <xdr:to>
      <xdr:col>25</xdr:col>
      <xdr:colOff>1108365</xdr:colOff>
      <xdr:row>2</xdr:row>
      <xdr:rowOff>363682</xdr:rowOff>
    </xdr:to>
    <xdr:grpSp>
      <xdr:nvGrpSpPr>
        <xdr:cNvPr id="2" name="Agrupar 2">
          <a:extLst>
            <a:ext uri="{FF2B5EF4-FFF2-40B4-BE49-F238E27FC236}">
              <a16:creationId xmlns:a16="http://schemas.microsoft.com/office/drawing/2014/main" id="{B72154E2-B114-4842-B289-93A4A4687A59}"/>
            </a:ext>
          </a:extLst>
        </xdr:cNvPr>
        <xdr:cNvGrpSpPr/>
      </xdr:nvGrpSpPr>
      <xdr:grpSpPr>
        <a:xfrm>
          <a:off x="17283547" y="51955"/>
          <a:ext cx="952500" cy="1004454"/>
          <a:chOff x="21197455" y="95624"/>
          <a:chExt cx="1145098" cy="1203240"/>
        </a:xfrm>
      </xdr:grpSpPr>
      <xdr:pic>
        <xdr:nvPicPr>
          <xdr:cNvPr id="3" name="Gráfico 7" descr="Início com preenchimento sólido">
            <a:hlinkClick xmlns:r="http://schemas.openxmlformats.org/officeDocument/2006/relationships" r:id="rId1"/>
            <a:extLst>
              <a:ext uri="{FF2B5EF4-FFF2-40B4-BE49-F238E27FC236}">
                <a16:creationId xmlns:a16="http://schemas.microsoft.com/office/drawing/2014/main" id="{6D52D98E-D3D5-7537-4402-31D68B194E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332579" y="95624"/>
            <a:ext cx="900752" cy="943467"/>
          </a:xfrm>
          <a:prstGeom prst="rect">
            <a:avLst/>
          </a:prstGeom>
        </xdr:spPr>
      </xdr:pic>
      <xdr:sp macro="" textlink="">
        <xdr:nvSpPr>
          <xdr:cNvPr id="4" name="TextBox 18">
            <a:extLst>
              <a:ext uri="{FF2B5EF4-FFF2-40B4-BE49-F238E27FC236}">
                <a16:creationId xmlns:a16="http://schemas.microsoft.com/office/drawing/2014/main" id="{9829F545-0E1D-6CFD-3FA5-DC79BF065D8A}"/>
              </a:ext>
            </a:extLst>
          </xdr:cNvPr>
          <xdr:cNvSpPr txBox="1"/>
        </xdr:nvSpPr>
        <xdr:spPr>
          <a:xfrm>
            <a:off x="21197455" y="923546"/>
            <a:ext cx="1145098" cy="37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solidFill>
                  <a:schemeClr val="tx1">
                    <a:lumMod val="75000"/>
                    <a:lumOff val="25000"/>
                  </a:schemeClr>
                </a:solidFill>
                <a:latin typeface="Century Gothic" panose="020B0502020202020204" pitchFamily="34" charset="0"/>
              </a:rPr>
              <a:t>Inicio</a:t>
            </a:r>
          </a:p>
        </xdr:txBody>
      </xdr:sp>
    </xdr:grpSp>
    <xdr:clientData/>
  </xdr:twoCellAnchor>
  <xdr:twoCellAnchor editAs="oneCell">
    <xdr:from>
      <xdr:col>1</xdr:col>
      <xdr:colOff>329047</xdr:colOff>
      <xdr:row>1</xdr:row>
      <xdr:rowOff>103909</xdr:rowOff>
    </xdr:from>
    <xdr:to>
      <xdr:col>2</xdr:col>
      <xdr:colOff>24246</xdr:colOff>
      <xdr:row>2</xdr:row>
      <xdr:rowOff>534547</xdr:rowOff>
    </xdr:to>
    <xdr:pic>
      <xdr:nvPicPr>
        <xdr:cNvPr id="5" name="Imagem 9">
          <a:extLst>
            <a:ext uri="{FF2B5EF4-FFF2-40B4-BE49-F238E27FC236}">
              <a16:creationId xmlns:a16="http://schemas.microsoft.com/office/drawing/2014/main" id="{2F6C9A61-8D02-4B5E-B830-B9115F5452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1922" y="246784"/>
          <a:ext cx="761999" cy="983088"/>
        </a:xfrm>
        <a:prstGeom prst="rect">
          <a:avLst/>
        </a:prstGeom>
      </xdr:spPr>
    </xdr:pic>
    <xdr:clientData/>
  </xdr:twoCellAnchor>
  <xdr:twoCellAnchor>
    <xdr:from>
      <xdr:col>5</xdr:col>
      <xdr:colOff>164523</xdr:colOff>
      <xdr:row>1</xdr:row>
      <xdr:rowOff>238125</xdr:rowOff>
    </xdr:from>
    <xdr:to>
      <xdr:col>5</xdr:col>
      <xdr:colOff>1143000</xdr:colOff>
      <xdr:row>4</xdr:row>
      <xdr:rowOff>4330</xdr:rowOff>
    </xdr:to>
    <xdr:grpSp>
      <xdr:nvGrpSpPr>
        <xdr:cNvPr id="12" name="Agrupar 11">
          <a:extLst>
            <a:ext uri="{FF2B5EF4-FFF2-40B4-BE49-F238E27FC236}">
              <a16:creationId xmlns:a16="http://schemas.microsoft.com/office/drawing/2014/main" id="{9DAD8C59-96C5-9241-0887-9AF3E6E581F1}"/>
            </a:ext>
          </a:extLst>
        </xdr:cNvPr>
        <xdr:cNvGrpSpPr/>
      </xdr:nvGrpSpPr>
      <xdr:grpSpPr>
        <a:xfrm>
          <a:off x="4944341" y="376670"/>
          <a:ext cx="978477" cy="978478"/>
          <a:chOff x="9022773" y="21388"/>
          <a:chExt cx="1593272" cy="1762386"/>
        </a:xfrm>
        <a:effectLst>
          <a:outerShdw blurRad="63500" sx="102000" sy="102000" algn="ctr" rotWithShape="0">
            <a:prstClr val="black">
              <a:alpha val="40000"/>
            </a:prstClr>
          </a:outerShdw>
        </a:effectLst>
      </xdr:grpSpPr>
      <xdr:sp macro="" textlink="">
        <xdr:nvSpPr>
          <xdr:cNvPr id="10" name="Elipse 9">
            <a:extLst>
              <a:ext uri="{FF2B5EF4-FFF2-40B4-BE49-F238E27FC236}">
                <a16:creationId xmlns:a16="http://schemas.microsoft.com/office/drawing/2014/main" id="{7C121916-DA7E-D0B5-7CF1-3A9C12A0A675}"/>
              </a:ext>
            </a:extLst>
          </xdr:cNvPr>
          <xdr:cNvSpPr/>
        </xdr:nvSpPr>
        <xdr:spPr>
          <a:xfrm>
            <a:off x="9022773" y="21388"/>
            <a:ext cx="1593272" cy="1762386"/>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1" name="Imagem 10">
            <a:extLst>
              <a:ext uri="{FF2B5EF4-FFF2-40B4-BE49-F238E27FC236}">
                <a16:creationId xmlns:a16="http://schemas.microsoft.com/office/drawing/2014/main" id="{5D8F3C5B-1FCA-949E-7BA0-07FA972B40E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142685" y="155864"/>
            <a:ext cx="1364857" cy="1569519"/>
          </a:xfrm>
          <a:prstGeom prst="rect">
            <a:avLst/>
          </a:prstGeom>
          <a:ln>
            <a:noFill/>
          </a:ln>
        </xdr:spPr>
      </xdr:pic>
    </xdr:grpSp>
    <xdr:clientData/>
  </xdr:twoCellAnchor>
  <xdr:twoCellAnchor>
    <xdr:from>
      <xdr:col>26</xdr:col>
      <xdr:colOff>95250</xdr:colOff>
      <xdr:row>1</xdr:row>
      <xdr:rowOff>111125</xdr:rowOff>
    </xdr:from>
    <xdr:to>
      <xdr:col>27</xdr:col>
      <xdr:colOff>588529</xdr:colOff>
      <xdr:row>2</xdr:row>
      <xdr:rowOff>215035</xdr:rowOff>
    </xdr:to>
    <xdr:sp macro="" textlink="">
      <xdr:nvSpPr>
        <xdr:cNvPr id="13" name="Retângulo 12">
          <a:hlinkClick xmlns:r="http://schemas.openxmlformats.org/officeDocument/2006/relationships" r:id="rId6"/>
          <a:extLst>
            <a:ext uri="{FF2B5EF4-FFF2-40B4-BE49-F238E27FC236}">
              <a16:creationId xmlns:a16="http://schemas.microsoft.com/office/drawing/2014/main" id="{6FEB1D95-4583-4531-A005-F57B5202122F}"/>
            </a:ext>
          </a:extLst>
        </xdr:cNvPr>
        <xdr:cNvSpPr/>
      </xdr:nvSpPr>
      <xdr:spPr>
        <a:xfrm>
          <a:off x="18478500" y="254000"/>
          <a:ext cx="1763279" cy="65953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RESUMO</a:t>
          </a:r>
          <a:r>
            <a:rPr lang="pt-BR" sz="1800" baseline="0">
              <a:solidFill>
                <a:sysClr val="windowText" lastClr="000000"/>
              </a:solidFill>
              <a:latin typeface="Century Gothic" panose="020B0502020202020204" pitchFamily="34" charset="0"/>
            </a:rPr>
            <a:t> DOS ITENS</a:t>
          </a:r>
          <a:endParaRPr lang="pt-BR" sz="1800">
            <a:solidFill>
              <a:sysClr val="windowText" lastClr="000000"/>
            </a:solidFill>
            <a:latin typeface="Century Gothic" panose="020B0502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25</xdr:col>
      <xdr:colOff>155864</xdr:colOff>
      <xdr:row>0</xdr:row>
      <xdr:rowOff>51955</xdr:rowOff>
    </xdr:from>
    <xdr:to>
      <xdr:col>25</xdr:col>
      <xdr:colOff>1246909</xdr:colOff>
      <xdr:row>2</xdr:row>
      <xdr:rowOff>363682</xdr:rowOff>
    </xdr:to>
    <xdr:grpSp>
      <xdr:nvGrpSpPr>
        <xdr:cNvPr id="2" name="Agrupar 2">
          <a:extLst>
            <a:ext uri="{FF2B5EF4-FFF2-40B4-BE49-F238E27FC236}">
              <a16:creationId xmlns:a16="http://schemas.microsoft.com/office/drawing/2014/main" id="{52BD3BB8-963F-4047-AF3F-02B79A454B27}"/>
            </a:ext>
          </a:extLst>
        </xdr:cNvPr>
        <xdr:cNvGrpSpPr/>
      </xdr:nvGrpSpPr>
      <xdr:grpSpPr>
        <a:xfrm>
          <a:off x="17586614" y="51955"/>
          <a:ext cx="1091045" cy="1016577"/>
          <a:chOff x="21197455" y="95624"/>
          <a:chExt cx="1145098" cy="1203240"/>
        </a:xfrm>
      </xdr:grpSpPr>
      <xdr:pic>
        <xdr:nvPicPr>
          <xdr:cNvPr id="3" name="Gráfico 7" descr="Início com preenchimento sólido">
            <a:hlinkClick xmlns:r="http://schemas.openxmlformats.org/officeDocument/2006/relationships" r:id="rId1"/>
            <a:extLst>
              <a:ext uri="{FF2B5EF4-FFF2-40B4-BE49-F238E27FC236}">
                <a16:creationId xmlns:a16="http://schemas.microsoft.com/office/drawing/2014/main" id="{E1309F4F-333D-DE17-711F-0EA61989E0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332579" y="95624"/>
            <a:ext cx="900752" cy="943467"/>
          </a:xfrm>
          <a:prstGeom prst="rect">
            <a:avLst/>
          </a:prstGeom>
        </xdr:spPr>
      </xdr:pic>
      <xdr:sp macro="" textlink="">
        <xdr:nvSpPr>
          <xdr:cNvPr id="4" name="TextBox 18">
            <a:extLst>
              <a:ext uri="{FF2B5EF4-FFF2-40B4-BE49-F238E27FC236}">
                <a16:creationId xmlns:a16="http://schemas.microsoft.com/office/drawing/2014/main" id="{D1AF1D66-3831-802D-280C-9AFABE513BD9}"/>
              </a:ext>
            </a:extLst>
          </xdr:cNvPr>
          <xdr:cNvSpPr txBox="1"/>
        </xdr:nvSpPr>
        <xdr:spPr>
          <a:xfrm>
            <a:off x="21197455" y="923546"/>
            <a:ext cx="1145098" cy="3753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solidFill>
                  <a:schemeClr val="tx1">
                    <a:lumMod val="75000"/>
                    <a:lumOff val="25000"/>
                  </a:schemeClr>
                </a:solidFill>
                <a:latin typeface="Century Gothic" panose="020B0502020202020204" pitchFamily="34" charset="0"/>
              </a:rPr>
              <a:t>Inicio</a:t>
            </a:r>
          </a:p>
        </xdr:txBody>
      </xdr:sp>
    </xdr:grpSp>
    <xdr:clientData/>
  </xdr:twoCellAnchor>
  <xdr:twoCellAnchor editAs="oneCell">
    <xdr:from>
      <xdr:col>1</xdr:col>
      <xdr:colOff>329047</xdr:colOff>
      <xdr:row>1</xdr:row>
      <xdr:rowOff>103909</xdr:rowOff>
    </xdr:from>
    <xdr:to>
      <xdr:col>2</xdr:col>
      <xdr:colOff>24246</xdr:colOff>
      <xdr:row>2</xdr:row>
      <xdr:rowOff>534547</xdr:rowOff>
    </xdr:to>
    <xdr:pic>
      <xdr:nvPicPr>
        <xdr:cNvPr id="5" name="Imagem 9">
          <a:extLst>
            <a:ext uri="{FF2B5EF4-FFF2-40B4-BE49-F238E27FC236}">
              <a16:creationId xmlns:a16="http://schemas.microsoft.com/office/drawing/2014/main" id="{CE90836A-F8D5-4CC4-8492-996D6FF234E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1922" y="246784"/>
          <a:ext cx="761999" cy="983088"/>
        </a:xfrm>
        <a:prstGeom prst="rect">
          <a:avLst/>
        </a:prstGeom>
      </xdr:spPr>
    </xdr:pic>
    <xdr:clientData/>
  </xdr:twoCellAnchor>
  <xdr:twoCellAnchor>
    <xdr:from>
      <xdr:col>5</xdr:col>
      <xdr:colOff>138545</xdr:colOff>
      <xdr:row>1</xdr:row>
      <xdr:rowOff>333375</xdr:rowOff>
    </xdr:from>
    <xdr:to>
      <xdr:col>5</xdr:col>
      <xdr:colOff>1047750</xdr:colOff>
      <xdr:row>3</xdr:row>
      <xdr:rowOff>51954</xdr:rowOff>
    </xdr:to>
    <xdr:grpSp>
      <xdr:nvGrpSpPr>
        <xdr:cNvPr id="6" name="Agrupar 5">
          <a:extLst>
            <a:ext uri="{FF2B5EF4-FFF2-40B4-BE49-F238E27FC236}">
              <a16:creationId xmlns:a16="http://schemas.microsoft.com/office/drawing/2014/main" id="{62DB961E-2A47-0C26-9B4F-A20373806CDE}"/>
            </a:ext>
          </a:extLst>
        </xdr:cNvPr>
        <xdr:cNvGrpSpPr/>
      </xdr:nvGrpSpPr>
      <xdr:grpSpPr>
        <a:xfrm>
          <a:off x="5167745" y="485775"/>
          <a:ext cx="909205" cy="823479"/>
          <a:chOff x="4970318" y="190500"/>
          <a:chExt cx="1143001" cy="1091045"/>
        </a:xfrm>
      </xdr:grpSpPr>
      <xdr:sp macro="" textlink="">
        <xdr:nvSpPr>
          <xdr:cNvPr id="10" name="Elipse 9">
            <a:extLst>
              <a:ext uri="{FF2B5EF4-FFF2-40B4-BE49-F238E27FC236}">
                <a16:creationId xmlns:a16="http://schemas.microsoft.com/office/drawing/2014/main" id="{392B29AA-F9D6-DC33-28A2-A84D576670C2}"/>
              </a:ext>
            </a:extLst>
          </xdr:cNvPr>
          <xdr:cNvSpPr/>
        </xdr:nvSpPr>
        <xdr:spPr>
          <a:xfrm>
            <a:off x="4970318" y="190500"/>
            <a:ext cx="1143001" cy="1091045"/>
          </a:xfrm>
          <a:prstGeom prst="ellipse">
            <a:avLst/>
          </a:prstGeom>
          <a:solidFill>
            <a:schemeClr val="bg1"/>
          </a:solidFill>
          <a:ln>
            <a:no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lvl="0" algn="ctr"/>
            <a:endParaRPr lang="pt-BR" sz="1100">
              <a:latin typeface="Century Gothic" panose="020B0502020202020204" pitchFamily="34" charset="0"/>
            </a:endParaRPr>
          </a:p>
        </xdr:txBody>
      </xdr:sp>
      <xdr:pic>
        <xdr:nvPicPr>
          <xdr:cNvPr id="12" name="Imagem 11">
            <a:extLst>
              <a:ext uri="{FF2B5EF4-FFF2-40B4-BE49-F238E27FC236}">
                <a16:creationId xmlns:a16="http://schemas.microsoft.com/office/drawing/2014/main" id="{3B332B4F-05B2-47C1-B83D-996A7B1A34C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7568" t="15038" r="17568" b="23556"/>
          <a:stretch/>
        </xdr:blipFill>
        <xdr:spPr>
          <a:xfrm>
            <a:off x="5126181" y="259773"/>
            <a:ext cx="831273" cy="848591"/>
          </a:xfrm>
          <a:prstGeom prst="rect">
            <a:avLst/>
          </a:prstGeom>
        </xdr:spPr>
      </xdr:pic>
    </xdr:grpSp>
    <xdr:clientData/>
  </xdr:twoCellAnchor>
  <xdr:twoCellAnchor>
    <xdr:from>
      <xdr:col>25</xdr:col>
      <xdr:colOff>1238250</xdr:colOff>
      <xdr:row>1</xdr:row>
      <xdr:rowOff>63500</xdr:rowOff>
    </xdr:from>
    <xdr:to>
      <xdr:col>27</xdr:col>
      <xdr:colOff>429779</xdr:colOff>
      <xdr:row>2</xdr:row>
      <xdr:rowOff>167410</xdr:rowOff>
    </xdr:to>
    <xdr:sp macro="" textlink="">
      <xdr:nvSpPr>
        <xdr:cNvPr id="11" name="Retângulo 10">
          <a:hlinkClick xmlns:r="http://schemas.openxmlformats.org/officeDocument/2006/relationships" r:id="rId6"/>
          <a:extLst>
            <a:ext uri="{FF2B5EF4-FFF2-40B4-BE49-F238E27FC236}">
              <a16:creationId xmlns:a16="http://schemas.microsoft.com/office/drawing/2014/main" id="{BECD1358-AA4A-47FB-B19A-BC134AA83DE1}"/>
            </a:ext>
          </a:extLst>
        </xdr:cNvPr>
        <xdr:cNvSpPr/>
      </xdr:nvSpPr>
      <xdr:spPr>
        <a:xfrm>
          <a:off x="18557875" y="206375"/>
          <a:ext cx="1763279" cy="659535"/>
        </a:xfrm>
        <a:prstGeom prst="rect">
          <a:avLst/>
        </a:prstGeom>
        <a:solidFill>
          <a:schemeClr val="bg1"/>
        </a:solidFill>
        <a:ln>
          <a:solidFill>
            <a:schemeClr val="bg2">
              <a:lumMod val="75000"/>
            </a:schemeClr>
          </a:solidFill>
        </a:ln>
        <a:effectLst>
          <a:outerShdw blurRad="63500" sx="102000" sy="102000" algn="ct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800">
              <a:solidFill>
                <a:sysClr val="windowText" lastClr="000000"/>
              </a:solidFill>
              <a:latin typeface="Century Gothic" panose="020B0502020202020204" pitchFamily="34" charset="0"/>
            </a:rPr>
            <a:t>RESUMO</a:t>
          </a:r>
          <a:r>
            <a:rPr lang="pt-BR" sz="1800" baseline="0">
              <a:solidFill>
                <a:sysClr val="windowText" lastClr="000000"/>
              </a:solidFill>
              <a:latin typeface="Century Gothic" panose="020B0502020202020204" pitchFamily="34" charset="0"/>
            </a:rPr>
            <a:t> DOS ITENS</a:t>
          </a:r>
          <a:endParaRPr lang="pt-BR" sz="1800">
            <a:solidFill>
              <a:sysClr val="windowText" lastClr="000000"/>
            </a:solidFill>
            <a:latin typeface="Century Gothic" panose="020B0502020202020204" pitchFamily="34"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3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4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4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4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4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4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5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5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5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5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6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6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6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6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C43CB-0345-41C2-9AD5-E59A912B48B8}">
  <sheetPr codeName="Planilha4"/>
  <dimension ref="A1:AC25"/>
  <sheetViews>
    <sheetView showGridLines="0" showRowColHeaders="0" zoomScale="90" zoomScaleNormal="90" workbookViewId="0"/>
  </sheetViews>
  <sheetFormatPr defaultColWidth="0" defaultRowHeight="15" zeroHeight="1" x14ac:dyDescent="0.25"/>
  <cols>
    <col min="1" max="1" width="12.42578125" customWidth="1"/>
    <col min="2" max="2" width="13.5703125" customWidth="1"/>
    <col min="3" max="3" width="29.140625" customWidth="1"/>
    <col min="4" max="10" width="9.140625" customWidth="1"/>
    <col min="11" max="11" width="14.28515625" customWidth="1"/>
    <col min="12" max="12" width="18.85546875" customWidth="1"/>
    <col min="13" max="15" width="9.140625" customWidth="1"/>
    <col min="16" max="16" width="19.42578125" customWidth="1"/>
    <col min="17" max="16384" width="9.140625" hidden="1"/>
  </cols>
  <sheetData>
    <row r="1" spans="1:29" ht="43.5" x14ac:dyDescent="0.35">
      <c r="A1" s="11"/>
      <c r="B1" s="145" t="s">
        <v>0</v>
      </c>
      <c r="C1" s="146"/>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row>
    <row r="2" spans="1:29" ht="36" customHeight="1" x14ac:dyDescent="0.25">
      <c r="A2" s="10"/>
      <c r="B2" s="147" t="s">
        <v>1</v>
      </c>
      <c r="C2" s="148"/>
      <c r="D2" s="229" t="s">
        <v>2</v>
      </c>
      <c r="E2" s="229"/>
      <c r="F2" s="229"/>
      <c r="G2" s="229"/>
      <c r="H2" s="229"/>
      <c r="I2" s="109"/>
      <c r="J2" s="109"/>
      <c r="K2" s="149" t="s">
        <v>3</v>
      </c>
      <c r="L2" s="150" t="s">
        <v>4</v>
      </c>
      <c r="M2" s="109"/>
      <c r="N2" s="109"/>
      <c r="O2" s="109"/>
      <c r="P2" s="151"/>
      <c r="Q2" s="109"/>
      <c r="R2" s="109"/>
      <c r="S2" s="109"/>
      <c r="T2" s="109"/>
      <c r="U2" s="109"/>
      <c r="V2" s="109"/>
      <c r="W2" s="109"/>
      <c r="X2" s="109"/>
      <c r="Y2" s="109"/>
      <c r="Z2" s="109"/>
      <c r="AA2" s="109"/>
      <c r="AB2" s="109"/>
    </row>
    <row r="3" spans="1:29" x14ac:dyDescent="0.25">
      <c r="A3" s="1"/>
      <c r="B3" s="1"/>
      <c r="C3" s="1"/>
      <c r="D3" s="1"/>
      <c r="E3" s="1"/>
      <c r="F3" s="1"/>
      <c r="G3" s="161"/>
      <c r="H3" s="161"/>
      <c r="I3" s="161"/>
      <c r="J3" s="1"/>
      <c r="K3" s="1"/>
      <c r="L3" s="1"/>
      <c r="M3" s="1"/>
      <c r="N3" s="1"/>
      <c r="O3" s="1"/>
      <c r="P3" s="1"/>
    </row>
    <row r="4" spans="1:29" x14ac:dyDescent="0.25">
      <c r="A4" s="1"/>
      <c r="B4" s="1"/>
      <c r="C4" s="1"/>
      <c r="D4" s="1"/>
      <c r="E4" s="1"/>
      <c r="F4" s="1"/>
      <c r="G4" s="1"/>
      <c r="H4" s="162"/>
      <c r="I4" s="1"/>
      <c r="J4" s="1"/>
      <c r="K4" s="1"/>
      <c r="L4" s="1"/>
      <c r="M4" s="1"/>
      <c r="N4" s="1"/>
      <c r="O4" s="1"/>
      <c r="P4" s="1"/>
    </row>
    <row r="5" spans="1:29" x14ac:dyDescent="0.25">
      <c r="A5" s="1"/>
      <c r="B5" s="1"/>
      <c r="C5" s="152" t="s">
        <v>5</v>
      </c>
      <c r="D5" s="1"/>
      <c r="E5" s="110"/>
      <c r="F5" s="1"/>
      <c r="G5" s="1"/>
      <c r="H5" s="1"/>
      <c r="I5" s="1"/>
      <c r="J5" s="1"/>
      <c r="K5" s="1"/>
      <c r="L5" s="1"/>
      <c r="M5" s="1"/>
      <c r="N5" s="1"/>
      <c r="O5" s="1"/>
      <c r="P5" s="1"/>
    </row>
    <row r="6" spans="1:29" x14ac:dyDescent="0.25">
      <c r="A6" s="1"/>
      <c r="B6" s="1"/>
      <c r="C6" s="114"/>
      <c r="D6" s="114"/>
      <c r="E6" s="114"/>
      <c r="F6" s="114"/>
      <c r="G6" s="114"/>
      <c r="H6" s="114"/>
      <c r="I6" s="114"/>
      <c r="J6" s="114"/>
      <c r="K6" s="114"/>
      <c r="L6" s="114"/>
      <c r="M6" s="114"/>
      <c r="N6" s="114"/>
      <c r="O6" s="1"/>
      <c r="P6" s="1"/>
    </row>
    <row r="7" spans="1:29" x14ac:dyDescent="0.25">
      <c r="A7" s="1"/>
      <c r="B7" s="1"/>
      <c r="C7" s="114"/>
      <c r="D7" s="114"/>
      <c r="E7" s="114"/>
      <c r="F7" s="114"/>
      <c r="G7" s="114"/>
      <c r="H7" s="114"/>
      <c r="I7" s="114"/>
      <c r="J7" s="114"/>
      <c r="K7" s="114"/>
      <c r="L7" s="114"/>
      <c r="M7" s="114"/>
      <c r="N7" s="114"/>
      <c r="O7" s="1"/>
      <c r="P7" s="1"/>
    </row>
    <row r="8" spans="1:29" x14ac:dyDescent="0.25">
      <c r="A8" s="1"/>
      <c r="B8" s="1"/>
      <c r="C8" s="114"/>
      <c r="D8" s="114"/>
      <c r="E8" s="114"/>
      <c r="F8" s="114"/>
      <c r="G8" s="114"/>
      <c r="H8" s="114"/>
      <c r="I8" s="114"/>
      <c r="J8" s="114"/>
      <c r="K8" s="114"/>
      <c r="L8" s="114"/>
      <c r="M8" s="114"/>
      <c r="N8" s="114"/>
      <c r="O8" s="1"/>
      <c r="P8" s="1"/>
    </row>
    <row r="9" spans="1:29" x14ac:dyDescent="0.25">
      <c r="A9" s="1"/>
      <c r="B9" s="1"/>
      <c r="C9" s="114"/>
      <c r="D9" s="114"/>
      <c r="E9" s="114"/>
      <c r="F9" s="114"/>
      <c r="G9" s="114"/>
      <c r="H9" s="114"/>
      <c r="I9" s="114"/>
      <c r="J9" s="114"/>
      <c r="K9" s="114"/>
      <c r="L9" s="114"/>
      <c r="M9" s="114"/>
      <c r="N9" s="114"/>
      <c r="O9" s="1"/>
      <c r="P9" s="1"/>
    </row>
    <row r="10" spans="1:29" x14ac:dyDescent="0.25">
      <c r="A10" s="1"/>
      <c r="B10" s="1"/>
      <c r="C10" s="114"/>
      <c r="D10" s="114"/>
      <c r="E10" s="114"/>
      <c r="F10" s="114"/>
      <c r="G10" s="114"/>
      <c r="H10" s="114"/>
      <c r="I10" s="114"/>
      <c r="J10" s="114"/>
      <c r="K10" s="114"/>
      <c r="L10" s="114"/>
      <c r="M10" s="114"/>
      <c r="N10" s="114"/>
      <c r="O10" s="1"/>
      <c r="P10" s="1"/>
    </row>
    <row r="11" spans="1:29" x14ac:dyDescent="0.25">
      <c r="A11" s="1"/>
      <c r="B11" s="1"/>
      <c r="C11" s="114"/>
      <c r="D11" s="114"/>
      <c r="E11" s="114"/>
      <c r="F11" s="114"/>
      <c r="G11" s="114"/>
      <c r="H11" s="114"/>
      <c r="I11" s="114"/>
      <c r="J11" s="114"/>
      <c r="K11" s="114"/>
      <c r="L11" s="114"/>
      <c r="M11" s="114"/>
      <c r="N11" s="114"/>
      <c r="O11" s="1"/>
      <c r="P11" s="1"/>
    </row>
    <row r="12" spans="1:29" x14ac:dyDescent="0.25">
      <c r="A12" s="1"/>
      <c r="B12" s="1"/>
      <c r="C12" s="114"/>
      <c r="D12" s="114"/>
      <c r="E12" s="114"/>
      <c r="F12" s="114"/>
      <c r="G12" s="114"/>
      <c r="H12" s="114"/>
      <c r="I12" s="114"/>
      <c r="J12" s="114"/>
      <c r="K12" s="114"/>
      <c r="L12" s="114"/>
      <c r="M12" s="114"/>
      <c r="N12" s="114"/>
      <c r="O12" s="1"/>
      <c r="P12" s="1"/>
    </row>
    <row r="13" spans="1:29" x14ac:dyDescent="0.25">
      <c r="A13" s="1"/>
      <c r="B13" s="1"/>
      <c r="C13" s="114"/>
      <c r="D13" s="114"/>
      <c r="E13" s="114"/>
      <c r="F13" s="114"/>
      <c r="G13" s="114"/>
      <c r="H13" s="114"/>
      <c r="I13" s="114"/>
      <c r="J13" s="114"/>
      <c r="K13" s="114"/>
      <c r="L13" s="114"/>
      <c r="M13" s="114"/>
      <c r="N13" s="114"/>
      <c r="O13" s="1"/>
      <c r="P13" s="1"/>
    </row>
    <row r="14" spans="1:29" x14ac:dyDescent="0.25">
      <c r="A14" s="1"/>
      <c r="B14" s="110"/>
      <c r="C14" s="1"/>
      <c r="D14" s="1"/>
      <c r="E14" s="1"/>
      <c r="F14" s="1"/>
      <c r="G14" s="1"/>
      <c r="H14" s="1"/>
      <c r="I14" s="1"/>
      <c r="J14" s="1"/>
      <c r="K14" s="1"/>
      <c r="L14" s="1"/>
      <c r="M14" s="1"/>
      <c r="N14" s="1"/>
      <c r="O14" s="1"/>
      <c r="P14" s="1"/>
    </row>
    <row r="15" spans="1:29" x14ac:dyDescent="0.25">
      <c r="A15" s="1"/>
      <c r="B15" s="110"/>
      <c r="C15" s="152" t="s">
        <v>6</v>
      </c>
      <c r="D15" s="1"/>
      <c r="E15" s="1"/>
      <c r="F15" s="1"/>
      <c r="G15" s="1"/>
      <c r="H15" s="1"/>
      <c r="I15" s="1"/>
      <c r="J15" s="1"/>
      <c r="K15" s="1"/>
      <c r="L15" s="1"/>
      <c r="M15" s="1"/>
      <c r="N15" s="1"/>
      <c r="O15" s="1"/>
      <c r="P15" s="1"/>
    </row>
    <row r="16" spans="1:29" x14ac:dyDescent="0.25">
      <c r="A16" s="1"/>
      <c r="B16" s="110"/>
      <c r="C16" s="114"/>
      <c r="D16" s="114"/>
      <c r="E16" s="114"/>
      <c r="F16" s="114"/>
      <c r="G16" s="114"/>
      <c r="H16" s="114"/>
      <c r="I16" s="114"/>
      <c r="J16" s="114"/>
      <c r="K16" s="114"/>
      <c r="L16" s="114"/>
      <c r="M16" s="114"/>
      <c r="N16" s="114"/>
      <c r="O16" s="1"/>
      <c r="P16" s="1"/>
    </row>
    <row r="17" spans="1:16" x14ac:dyDescent="0.25">
      <c r="A17" s="1"/>
      <c r="B17" s="110"/>
      <c r="C17" s="114"/>
      <c r="D17" s="114"/>
      <c r="E17" s="114"/>
      <c r="F17" s="114"/>
      <c r="G17" s="114"/>
      <c r="H17" s="114"/>
      <c r="I17" s="114"/>
      <c r="J17" s="114"/>
      <c r="K17" s="114"/>
      <c r="L17" s="114"/>
      <c r="M17" s="114"/>
      <c r="N17" s="114"/>
      <c r="O17" s="1"/>
      <c r="P17" s="1"/>
    </row>
    <row r="18" spans="1:16" x14ac:dyDescent="0.25">
      <c r="A18" s="1"/>
      <c r="B18" s="110"/>
      <c r="C18" s="114"/>
      <c r="D18" s="114"/>
      <c r="E18" s="114"/>
      <c r="F18" s="114"/>
      <c r="G18" s="114"/>
      <c r="H18" s="114"/>
      <c r="I18" s="114"/>
      <c r="J18" s="114"/>
      <c r="K18" s="114"/>
      <c r="L18" s="114"/>
      <c r="M18" s="114"/>
      <c r="N18" s="114"/>
      <c r="O18" s="1"/>
      <c r="P18" s="1"/>
    </row>
    <row r="19" spans="1:16" x14ac:dyDescent="0.25">
      <c r="A19" s="1"/>
      <c r="B19" s="110"/>
      <c r="C19" s="114"/>
      <c r="D19" s="114"/>
      <c r="E19" s="114"/>
      <c r="F19" s="114"/>
      <c r="G19" s="114"/>
      <c r="H19" s="114"/>
      <c r="I19" s="114"/>
      <c r="J19" s="114"/>
      <c r="K19" s="114"/>
      <c r="L19" s="114"/>
      <c r="M19" s="114"/>
      <c r="N19" s="114"/>
      <c r="O19" s="1"/>
      <c r="P19" s="1"/>
    </row>
    <row r="20" spans="1:16" x14ac:dyDescent="0.25">
      <c r="A20" s="1"/>
      <c r="B20" s="110"/>
      <c r="C20" s="114"/>
      <c r="D20" s="114"/>
      <c r="E20" s="114"/>
      <c r="F20" s="114"/>
      <c r="G20" s="114"/>
      <c r="H20" s="114"/>
      <c r="I20" s="114"/>
      <c r="J20" s="114"/>
      <c r="K20" s="114"/>
      <c r="L20" s="114"/>
      <c r="M20" s="114"/>
      <c r="N20" s="114"/>
      <c r="O20" s="1"/>
      <c r="P20" s="1"/>
    </row>
    <row r="21" spans="1:16" x14ac:dyDescent="0.25">
      <c r="A21" s="1"/>
      <c r="B21" s="110"/>
      <c r="C21" s="114"/>
      <c r="D21" s="114"/>
      <c r="E21" s="114"/>
      <c r="F21" s="114"/>
      <c r="G21" s="114"/>
      <c r="H21" s="114"/>
      <c r="I21" s="114"/>
      <c r="J21" s="114"/>
      <c r="K21" s="114"/>
      <c r="L21" s="114"/>
      <c r="M21" s="114"/>
      <c r="N21" s="114"/>
      <c r="O21" s="1"/>
      <c r="P21" s="1"/>
    </row>
    <row r="22" spans="1:16" x14ac:dyDescent="0.25">
      <c r="A22" s="1"/>
      <c r="B22" s="110"/>
      <c r="C22" s="114"/>
      <c r="D22" s="114"/>
      <c r="E22" s="114"/>
      <c r="F22" s="114"/>
      <c r="G22" s="114"/>
      <c r="H22" s="114"/>
      <c r="I22" s="114"/>
      <c r="J22" s="114"/>
      <c r="K22" s="114"/>
      <c r="L22" s="114"/>
      <c r="M22" s="114"/>
      <c r="N22" s="114"/>
      <c r="O22" s="1"/>
      <c r="P22" s="1"/>
    </row>
    <row r="23" spans="1:16" x14ac:dyDescent="0.25">
      <c r="A23" s="1"/>
      <c r="B23" s="110"/>
      <c r="C23" s="114"/>
      <c r="D23" s="114"/>
      <c r="E23" s="114"/>
      <c r="F23" s="114"/>
      <c r="G23" s="114"/>
      <c r="H23" s="114"/>
      <c r="I23" s="114"/>
      <c r="J23" s="114"/>
      <c r="K23" s="114"/>
      <c r="L23" s="114"/>
      <c r="M23" s="114"/>
      <c r="N23" s="114"/>
      <c r="O23" s="1"/>
      <c r="P23" s="1"/>
    </row>
    <row r="24" spans="1:16" x14ac:dyDescent="0.25">
      <c r="A24" s="1"/>
      <c r="B24" s="1"/>
      <c r="C24" s="1"/>
      <c r="D24" s="1"/>
      <c r="E24" s="1"/>
      <c r="F24" s="1"/>
      <c r="G24" s="1"/>
      <c r="H24" s="1"/>
      <c r="I24" s="1"/>
      <c r="J24" s="1"/>
      <c r="K24" s="1"/>
      <c r="L24" s="1"/>
      <c r="M24" s="1"/>
      <c r="N24" s="1"/>
      <c r="O24" s="1"/>
      <c r="P24" s="1"/>
    </row>
    <row r="25" spans="1:16" x14ac:dyDescent="0.25">
      <c r="A25" s="1"/>
      <c r="B25" s="1"/>
      <c r="C25" s="1"/>
      <c r="D25" s="1"/>
      <c r="E25" s="1"/>
      <c r="F25" s="1"/>
      <c r="G25" s="1"/>
      <c r="H25" s="1"/>
      <c r="I25" s="1"/>
      <c r="J25" s="1"/>
      <c r="K25" s="1"/>
      <c r="L25" s="1"/>
      <c r="M25" s="1"/>
      <c r="N25" s="1"/>
      <c r="O25" s="1"/>
      <c r="P25" s="1"/>
    </row>
  </sheetData>
  <mergeCells count="1">
    <mergeCell ref="D2:H2"/>
  </mergeCells>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16D7B-8507-4AF1-AC12-A67AE73E163C}">
  <sheetPr codeName="Planilha16"/>
  <dimension ref="A1:AM29"/>
  <sheetViews>
    <sheetView showGridLines="0" zoomScale="50" zoomScaleNormal="50" workbookViewId="0">
      <pane xSplit="5" ySplit="9" topLeftCell="F15" activePane="bottomRight" state="frozen"/>
      <selection activeCell="C16" sqref="C16"/>
      <selection pane="topRight" activeCell="C16" sqref="C16"/>
      <selection pane="bottomLeft" activeCell="C16" sqref="C16"/>
      <selection pane="bottomRight" activeCell="D19" sqref="D19"/>
    </sheetView>
  </sheetViews>
  <sheetFormatPr defaultColWidth="0" defaultRowHeight="15" customHeight="1" zeroHeight="1" outlineLevelCol="1" x14ac:dyDescent="0.25"/>
  <cols>
    <col min="1" max="1" width="2.140625" customWidth="1"/>
    <col min="2" max="2" width="16" customWidth="1"/>
    <col min="3" max="3" width="4" customWidth="1"/>
    <col min="4" max="4" width="43.5703125" customWidth="1"/>
    <col min="5" max="5" width="9.42578125" customWidth="1"/>
    <col min="6" max="6" width="20.42578125" customWidth="1"/>
    <col min="7" max="7" width="11.140625" customWidth="1"/>
    <col min="8" max="11" width="5.85546875" customWidth="1" outlineLevel="1"/>
    <col min="12" max="12" width="20.5703125" customWidth="1"/>
    <col min="13" max="13" width="11.5703125" customWidth="1"/>
    <col min="14" max="14" width="10.85546875" customWidth="1"/>
    <col min="15" max="18" width="5.85546875" customWidth="1" outlineLevel="1"/>
    <col min="19" max="19" width="12.42578125" customWidth="1" outlineLevel="1"/>
    <col min="20" max="20" width="16.85546875" customWidth="1" outlineLevel="1"/>
    <col min="21" max="21" width="6.140625" bestFit="1" customWidth="1" outlineLevel="1"/>
    <col min="22" max="25" width="6.7109375" customWidth="1" outlineLevel="1"/>
    <col min="26" max="26" width="19.42578125" customWidth="1"/>
    <col min="27" max="27" width="19.140625" customWidth="1"/>
    <col min="28" max="28" width="12.140625" customWidth="1"/>
    <col min="29" max="29" width="11.5703125" customWidth="1"/>
    <col min="30" max="33" width="5.85546875" customWidth="1" outlineLevel="1"/>
    <col min="34" max="34" width="9.140625" customWidth="1"/>
    <col min="35" max="39" width="0" hidden="1" customWidth="1"/>
    <col min="40" max="16384" width="9.140625" hidden="1"/>
  </cols>
  <sheetData>
    <row r="1" spans="1:33"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33" ht="43.5" x14ac:dyDescent="0.35">
      <c r="B2" s="11"/>
      <c r="C2" s="11"/>
      <c r="D2" s="80" t="s">
        <v>0</v>
      </c>
      <c r="E2" s="80"/>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3" ht="43.5" x14ac:dyDescent="0.25">
      <c r="B3" s="10"/>
      <c r="C3" s="10"/>
      <c r="D3" s="81" t="s">
        <v>1</v>
      </c>
      <c r="E3" s="81"/>
      <c r="F3" s="296" t="s">
        <v>272</v>
      </c>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row>
    <row r="4" spans="1:33" ht="7.5" customHeight="1" x14ac:dyDescent="0.25"/>
    <row r="5" spans="1:33" ht="19.5" customHeight="1" x14ac:dyDescent="0.25">
      <c r="B5" s="237" t="s">
        <v>45</v>
      </c>
      <c r="C5" s="237"/>
      <c r="D5" s="237"/>
      <c r="F5" s="237" t="s">
        <v>46</v>
      </c>
      <c r="G5" s="237"/>
      <c r="H5" s="237"/>
      <c r="I5" s="237"/>
      <c r="J5" s="237"/>
      <c r="L5" s="237" t="s">
        <v>26</v>
      </c>
      <c r="M5" s="237"/>
      <c r="N5" s="64"/>
      <c r="O5" s="64"/>
      <c r="P5" s="64"/>
      <c r="Q5" s="64"/>
      <c r="R5" s="64"/>
      <c r="Z5" s="237" t="s">
        <v>47</v>
      </c>
      <c r="AA5" s="237"/>
      <c r="AB5" s="64"/>
      <c r="AC5" s="64"/>
      <c r="AD5" s="64"/>
      <c r="AE5" s="64"/>
      <c r="AF5" s="64"/>
    </row>
    <row r="6" spans="1:33" ht="11.25" customHeight="1" x14ac:dyDescent="0.25">
      <c r="U6" s="91">
        <v>6</v>
      </c>
      <c r="V6" s="91">
        <v>7</v>
      </c>
      <c r="W6" s="91">
        <v>8</v>
      </c>
      <c r="X6" s="91">
        <v>9</v>
      </c>
      <c r="Y6" s="91">
        <v>10</v>
      </c>
    </row>
    <row r="7" spans="1:33" ht="22.5" customHeight="1" x14ac:dyDescent="0.25">
      <c r="B7" s="239" t="s">
        <v>50</v>
      </c>
      <c r="C7" s="239" t="s">
        <v>51</v>
      </c>
      <c r="D7" s="239" t="s">
        <v>52</v>
      </c>
      <c r="E7" s="239" t="s">
        <v>53</v>
      </c>
      <c r="F7" s="240" t="s">
        <v>54</v>
      </c>
      <c r="G7" s="240" t="s">
        <v>55</v>
      </c>
      <c r="H7" s="241" t="s">
        <v>56</v>
      </c>
      <c r="I7" s="241" t="s">
        <v>57</v>
      </c>
      <c r="J7" s="241" t="s">
        <v>58</v>
      </c>
      <c r="K7" s="241" t="s">
        <v>59</v>
      </c>
      <c r="L7" s="238" t="s">
        <v>60</v>
      </c>
      <c r="M7" s="238" t="s">
        <v>61</v>
      </c>
      <c r="N7" s="238" t="s">
        <v>62</v>
      </c>
      <c r="O7" s="243" t="s">
        <v>56</v>
      </c>
      <c r="P7" s="243" t="s">
        <v>57</v>
      </c>
      <c r="Q7" s="243" t="s">
        <v>58</v>
      </c>
      <c r="R7" s="243" t="s">
        <v>59</v>
      </c>
      <c r="S7" s="244" t="s">
        <v>63</v>
      </c>
      <c r="T7" s="244" t="s">
        <v>64</v>
      </c>
      <c r="U7" s="242" t="s">
        <v>65</v>
      </c>
      <c r="V7" s="242" t="s">
        <v>66</v>
      </c>
      <c r="W7" s="242" t="s">
        <v>67</v>
      </c>
      <c r="X7" s="242" t="s">
        <v>68</v>
      </c>
      <c r="Y7" s="242" t="s">
        <v>69</v>
      </c>
      <c r="Z7" s="257" t="s">
        <v>70</v>
      </c>
      <c r="AA7" s="257" t="s">
        <v>71</v>
      </c>
      <c r="AB7" s="257" t="s">
        <v>72</v>
      </c>
      <c r="AC7" s="257" t="s">
        <v>73</v>
      </c>
      <c r="AD7" s="245" t="s">
        <v>56</v>
      </c>
      <c r="AE7" s="245" t="s">
        <v>57</v>
      </c>
      <c r="AF7" s="245" t="s">
        <v>58</v>
      </c>
      <c r="AG7" s="245" t="s">
        <v>59</v>
      </c>
    </row>
    <row r="8" spans="1:33" ht="15" customHeight="1" x14ac:dyDescent="0.25">
      <c r="B8" s="239"/>
      <c r="C8" s="239"/>
      <c r="D8" s="239"/>
      <c r="E8" s="239"/>
      <c r="F8" s="240"/>
      <c r="G8" s="240"/>
      <c r="H8" s="241"/>
      <c r="I8" s="241"/>
      <c r="J8" s="241"/>
      <c r="K8" s="241"/>
      <c r="L8" s="238"/>
      <c r="M8" s="238"/>
      <c r="N8" s="238"/>
      <c r="O8" s="243"/>
      <c r="P8" s="243"/>
      <c r="Q8" s="243"/>
      <c r="R8" s="243"/>
      <c r="S8" s="244"/>
      <c r="T8" s="244"/>
      <c r="U8" s="242"/>
      <c r="V8" s="242"/>
      <c r="W8" s="242"/>
      <c r="X8" s="242"/>
      <c r="Y8" s="242"/>
      <c r="Z8" s="257"/>
      <c r="AA8" s="257"/>
      <c r="AB8" s="257"/>
      <c r="AC8" s="257"/>
      <c r="AD8" s="245"/>
      <c r="AE8" s="245"/>
      <c r="AF8" s="245"/>
      <c r="AG8" s="245"/>
    </row>
    <row r="9" spans="1:33" ht="15" customHeight="1" x14ac:dyDescent="0.25">
      <c r="B9" s="119" t="s">
        <v>74</v>
      </c>
      <c r="C9" s="119" t="s">
        <v>51</v>
      </c>
      <c r="D9" s="119" t="s">
        <v>52</v>
      </c>
      <c r="E9" s="119" t="s">
        <v>53</v>
      </c>
      <c r="F9" s="120" t="s">
        <v>54</v>
      </c>
      <c r="G9" s="120" t="s">
        <v>75</v>
      </c>
      <c r="H9" s="121" t="s">
        <v>56</v>
      </c>
      <c r="I9" s="121" t="s">
        <v>57</v>
      </c>
      <c r="J9" s="121" t="s">
        <v>58</v>
      </c>
      <c r="K9" s="121" t="s">
        <v>59</v>
      </c>
      <c r="L9" s="122" t="s">
        <v>60</v>
      </c>
      <c r="M9" s="122" t="s">
        <v>76</v>
      </c>
      <c r="N9" s="122" t="s">
        <v>77</v>
      </c>
      <c r="O9" s="137" t="s">
        <v>56</v>
      </c>
      <c r="P9" s="137" t="s">
        <v>57</v>
      </c>
      <c r="Q9" s="137" t="s">
        <v>58</v>
      </c>
      <c r="R9" s="137" t="s">
        <v>59</v>
      </c>
      <c r="S9" s="138" t="s">
        <v>63</v>
      </c>
      <c r="T9" s="138" t="s">
        <v>64</v>
      </c>
      <c r="U9" s="139" t="s">
        <v>65</v>
      </c>
      <c r="V9" s="139" t="s">
        <v>66</v>
      </c>
      <c r="W9" s="139" t="s">
        <v>67</v>
      </c>
      <c r="X9" s="139" t="s">
        <v>68</v>
      </c>
      <c r="Y9" s="139" t="s">
        <v>69</v>
      </c>
      <c r="Z9" s="123" t="s">
        <v>70</v>
      </c>
      <c r="AA9" s="123" t="s">
        <v>71</v>
      </c>
      <c r="AB9" s="123" t="s">
        <v>72</v>
      </c>
      <c r="AC9" s="123" t="s">
        <v>73</v>
      </c>
      <c r="AD9" s="124" t="s">
        <v>56</v>
      </c>
      <c r="AE9" s="124" t="s">
        <v>57</v>
      </c>
      <c r="AF9" s="124" t="s">
        <v>58</v>
      </c>
      <c r="AG9" s="124" t="s">
        <v>59</v>
      </c>
    </row>
    <row r="10" spans="1:33" ht="47.25" customHeight="1" x14ac:dyDescent="0.25">
      <c r="B10" s="115" t="s">
        <v>124</v>
      </c>
      <c r="C10" s="100" t="s">
        <v>79</v>
      </c>
      <c r="D10" s="73" t="s">
        <v>125</v>
      </c>
      <c r="E10" s="72">
        <v>1.4999999999999999E-2</v>
      </c>
      <c r="F10" s="76" t="str">
        <f>'Control 1'!$D$7</f>
        <v>Mais que cumpre</v>
      </c>
      <c r="G10" s="88">
        <f t="shared" ref="G10:G22" si="0">IF($F10="Não cumpre",0,IF($F10="Parcial",$E10*0.4,IF($F10="Cumpre",$E10*0.7,IF($F10="Mais que cumpre",$E10*0.85,IF($F10="Melhor Prática",E10,0)))))</f>
        <v>1.2749999999999999E-2</v>
      </c>
      <c r="H10" s="103">
        <f>'Control 1'!$F$7</f>
        <v>3</v>
      </c>
      <c r="I10" s="103">
        <f>'Control 1'!$G$7</f>
        <v>3</v>
      </c>
      <c r="J10" s="103">
        <f>'Control 1'!$H$7</f>
        <v>3</v>
      </c>
      <c r="K10" s="103" t="str">
        <f>'Control 1'!$I$7</f>
        <v/>
      </c>
      <c r="L10" s="76" t="str">
        <f>IF('Control 1'!$D$10="","",'Control 1'!$D$10)</f>
        <v>Mais que Cumpre</v>
      </c>
      <c r="M10" s="77">
        <f t="shared" ref="M10:M22" si="1">IF($L10="Não cumpre",0,IF($L10="Parcial",$E10*0.4,IF($L10="Cumpre",$E10*0.7,IF($L10="Mais que cumpre",$E10*0.85,IF($L10="Melhor Prática",E10,0)))))</f>
        <v>1.2749999999999999E-2</v>
      </c>
      <c r="N10" s="78">
        <f>IFERROR(G10/M10,"")</f>
        <v>1</v>
      </c>
      <c r="O10" s="103" t="str">
        <f>'Control 1'!$F$10</f>
        <v>-</v>
      </c>
      <c r="P10" s="103" t="str">
        <f>'Control 1'!$G$10</f>
        <v>-</v>
      </c>
      <c r="Q10" s="103" t="str">
        <f>'Control 1'!$H$10</f>
        <v>D</v>
      </c>
      <c r="R10" s="103" t="str">
        <f>'Control 1'!$I$10</f>
        <v>D</v>
      </c>
      <c r="S10" s="117">
        <f>IF('Control 1'!$M$10="","",'Control 1'!$M$10)</f>
        <v>1</v>
      </c>
      <c r="T10" s="104" t="str">
        <f>IF('Control 1'!$O$10="","",'Control 1'!$O$10)</f>
        <v>No Planificado</v>
      </c>
      <c r="U10" s="95">
        <f>IF('Control 1'!$Q$9&lt;=Estratégia!$U$6,0.5,0)+IF('Control 1'!$S$9&gt;=Control!$U$6,0.5,0)</f>
        <v>0.5</v>
      </c>
      <c r="V10" s="94">
        <f>IF('Control 1'!$Q$9&lt;=Estratégia!$V$6,0.5,0)+IF('Control 1'!$S$9&gt;=Estratégia!$V$6,0.5,0)</f>
        <v>0.5</v>
      </c>
      <c r="W10" s="94">
        <f>IF('Control 1'!$Q$9&lt;=Estratégia!$W$6,0.5,0)+IF('Control 1'!$S$9&gt;=Estratégia!$W$6,0.5,0)</f>
        <v>0.5</v>
      </c>
      <c r="X10" s="94">
        <f>IF('Control 1'!$Q$9&lt;=Estratégia!$X$6,0.5,0)+IF('Control 1'!$S$9&gt;=Estratégia!$X$6,0.5,0)</f>
        <v>0.5</v>
      </c>
      <c r="Y10" s="94">
        <f>IF('Control 1'!$Q$9&lt;=Estratégia!$Y$6,0.5,0)+IF('Control 1'!$S$9&gt;=Estratégia!$Y$6,0.5,0)</f>
        <v>0.5</v>
      </c>
      <c r="Z10" s="79" t="str">
        <f ca="1">IF(OR(AA10&lt;&gt;"",'Control 1'!$D$15="No Planificado"),'Control 1'!$D$15,IF(AND(AA10="",MONTH(TODAY())&gt;'Control 1'!$S$9),"Retrasado","A Tiempo"))</f>
        <v>A Tiempo</v>
      </c>
      <c r="AA10" s="76" t="str">
        <f>IF('Control 1'!$D$12="","",'Control 1'!$D$12)</f>
        <v>Mais que cumpre</v>
      </c>
      <c r="AB10" s="77">
        <f t="shared" ref="AB10:AB22" si="2">IF($AA10="Não cumpre",0,IF($AA10="Parcial",$E10*0.4,IF($AA10="Cumpre",$E10*0.7,IF($AA10="Mais que cumpre",$E10*0.85,IF($AA10="Melhor Prática",E10,0)))))</f>
        <v>1.2749999999999999E-2</v>
      </c>
      <c r="AC10" s="78">
        <f>IFERROR(AB10/M10,"")</f>
        <v>1</v>
      </c>
      <c r="AD10" s="103">
        <f>'Control 1'!$F$12</f>
        <v>3</v>
      </c>
      <c r="AE10" s="103">
        <f>'Control 1'!$G$12</f>
        <v>3</v>
      </c>
      <c r="AF10" s="103">
        <f>'Control 1'!$H$12</f>
        <v>3</v>
      </c>
      <c r="AG10" s="103" t="str">
        <f>'Control 1'!$I$12</f>
        <v/>
      </c>
    </row>
    <row r="11" spans="1:33" ht="45.75" customHeight="1" x14ac:dyDescent="0.25">
      <c r="B11" s="115" t="s">
        <v>124</v>
      </c>
      <c r="C11" s="100" t="s">
        <v>81</v>
      </c>
      <c r="D11" s="71" t="s">
        <v>126</v>
      </c>
      <c r="E11" s="74">
        <v>1.4999999999999999E-2</v>
      </c>
      <c r="F11" s="76" t="str">
        <f>'Control 2'!$D$7</f>
        <v>Mais que cumpre</v>
      </c>
      <c r="G11" s="88">
        <f t="shared" si="0"/>
        <v>1.2749999999999999E-2</v>
      </c>
      <c r="H11" s="103">
        <f>'Control 2'!$F$7</f>
        <v>3</v>
      </c>
      <c r="I11" s="103">
        <f>'Control 2'!$G$7</f>
        <v>3</v>
      </c>
      <c r="J11" s="103">
        <f>'Control 2'!$H$7</f>
        <v>3</v>
      </c>
      <c r="K11" s="103" t="str">
        <f>'Control 2'!$I$7</f>
        <v/>
      </c>
      <c r="L11" s="76" t="str">
        <f>IF('Control 2'!$D$10="","",'Control 2'!$D$10)</f>
        <v>Mais que Cumpre</v>
      </c>
      <c r="M11" s="77">
        <f t="shared" si="1"/>
        <v>1.2749999999999999E-2</v>
      </c>
      <c r="N11" s="78">
        <f t="shared" ref="N11:N22" si="3">IFERROR(G11/M11,"")</f>
        <v>1</v>
      </c>
      <c r="O11" s="103" t="str">
        <f>'Control 2'!$F$10</f>
        <v>-</v>
      </c>
      <c r="P11" s="103" t="str">
        <f>'Control 2'!$G$10</f>
        <v>-</v>
      </c>
      <c r="Q11" s="103" t="str">
        <f>'Control 2'!$H$10</f>
        <v>-</v>
      </c>
      <c r="R11" s="103" t="str">
        <f>'Control 2'!$I$10</f>
        <v>-</v>
      </c>
      <c r="S11" s="118">
        <f>IF('Control 2'!$M$10="","",'Control 2'!$M$10)</f>
        <v>1</v>
      </c>
      <c r="T11" s="104" t="str">
        <f>IF('Control 2'!$O$10="","",'Control 2'!$O$10)</f>
        <v>No Planificado</v>
      </c>
      <c r="U11" s="95">
        <f>IF('Control 2'!$Q$9&lt;=Estratégia!$U$6,0.5,0)+IF('Control 2'!$S$9&gt;=Control!$U$6,0.5,0)</f>
        <v>0.5</v>
      </c>
      <c r="V11" s="94">
        <f>IF('Control 2'!$Q$9&lt;=Estratégia!$V$6,0.5,0)+IF('Control 2'!$S$9&gt;=Estratégia!$V$6,0.5,0)</f>
        <v>0.5</v>
      </c>
      <c r="W11" s="94">
        <f>IF('Control 2'!$Q$9&lt;=Estratégia!$W$6,0.5,0)+IF('Control 2'!$S$9&gt;=Estratégia!$W$6,0.5,0)</f>
        <v>0.5</v>
      </c>
      <c r="X11" s="94">
        <f>IF('Control 2'!$Q$9&lt;=Estratégia!$X$6,0.5,0)+IF('Control 2'!$S$9&gt;=Estratégia!$X$6,0.5,0)</f>
        <v>0.5</v>
      </c>
      <c r="Y11" s="94">
        <f>IF('Control 2'!$Q$9&lt;=Estratégia!$Y$6,0.5,0)+IF('Control 2'!$S$9&gt;=Estratégia!$Y$6,0.5,0)</f>
        <v>0.5</v>
      </c>
      <c r="Z11" s="79" t="str">
        <f ca="1">IF(OR(AA11&lt;&gt;"",'Control 2'!$D$15="No Planificado"),'Control 2'!$D$15,IF(AND(AA11="",MONTH(TODAY())&gt;'Control 2'!$S$9),"Retrasado","A Tiempo"))</f>
        <v>A Tiempo</v>
      </c>
      <c r="AA11" s="76" t="str">
        <f>IF('Control 2'!$D$12="","",'Control 2'!$D$12)</f>
        <v>Mais que cumpre</v>
      </c>
      <c r="AB11" s="77">
        <f t="shared" si="2"/>
        <v>1.2749999999999999E-2</v>
      </c>
      <c r="AC11" s="78">
        <f t="shared" ref="AC11:AC22" si="4">IFERROR(AB11/M11,"")</f>
        <v>1</v>
      </c>
      <c r="AD11" s="103">
        <f>'Control 2'!$F$12</f>
        <v>3</v>
      </c>
      <c r="AE11" s="103">
        <f>'Control 2'!$G$12</f>
        <v>3</v>
      </c>
      <c r="AF11" s="103">
        <f>'Control 2'!$H$12</f>
        <v>3</v>
      </c>
      <c r="AG11" s="103">
        <f>'Control 2'!$I$12</f>
        <v>2</v>
      </c>
    </row>
    <row r="12" spans="1:33" ht="45.75" customHeight="1" x14ac:dyDescent="0.25">
      <c r="B12" s="115" t="s">
        <v>124</v>
      </c>
      <c r="C12" s="100" t="s">
        <v>83</v>
      </c>
      <c r="D12" s="73" t="s">
        <v>127</v>
      </c>
      <c r="E12" s="72">
        <v>5.0000000000000001E-3</v>
      </c>
      <c r="F12" s="76" t="str">
        <f>'Control 3'!$D$7</f>
        <v>Parcial</v>
      </c>
      <c r="G12" s="88">
        <f t="shared" si="0"/>
        <v>2E-3</v>
      </c>
      <c r="H12" s="103">
        <f>'Control 3'!$F$7</f>
        <v>3</v>
      </c>
      <c r="I12" s="103">
        <f>'Control 3'!$G$7</f>
        <v>2</v>
      </c>
      <c r="J12" s="103">
        <f>'Control 3'!$H$7</f>
        <v>3</v>
      </c>
      <c r="K12" s="103" t="str">
        <f>'Control 3'!$I$7</f>
        <v/>
      </c>
      <c r="L12" s="76" t="str">
        <f>IF('Control 3'!$D$10="","",'Control 3'!$D$10)</f>
        <v>Melhor Prática</v>
      </c>
      <c r="M12" s="77">
        <f t="shared" si="1"/>
        <v>5.0000000000000001E-3</v>
      </c>
      <c r="N12" s="78">
        <f t="shared" si="3"/>
        <v>0.4</v>
      </c>
      <c r="O12" s="103" t="str">
        <f>'Control 3'!$F$10</f>
        <v>-</v>
      </c>
      <c r="P12" s="103" t="str">
        <f>'Control 3'!$G$10</f>
        <v>-</v>
      </c>
      <c r="Q12" s="103" t="str">
        <f>'Control 3'!$H$10</f>
        <v>-</v>
      </c>
      <c r="R12" s="103" t="str">
        <f>'Control 3'!$I$10</f>
        <v>-</v>
      </c>
      <c r="S12" s="118">
        <f>IF('Control 3'!$M$10="","",'Control 3'!$M$10)</f>
        <v>3</v>
      </c>
      <c r="T12" s="104" t="str">
        <f>IF('Control 3'!$O$10="","",'Control 3'!$O$10)</f>
        <v>Baja</v>
      </c>
      <c r="U12" s="95">
        <f>IF('Control 3'!$Q$9&lt;=Estratégia!$U$6,0.5,0)+IF('Control 3'!$S$9&gt;=Control!$U$6,0.5,0)</f>
        <v>0.5</v>
      </c>
      <c r="V12" s="94">
        <f>IF('Control 3'!$Q$9&lt;=Estratégia!$V$6,0.5,0)+IF('Control 3'!$S$9&gt;=Estratégia!$V$6,0.5,0)</f>
        <v>0.5</v>
      </c>
      <c r="W12" s="94">
        <f>IF('Control 3'!$Q$9&lt;=Estratégia!$W$6,0.5,0)+IF('Control 3'!$S$9&gt;=Estratégia!$W$6,0.5,0)</f>
        <v>0.5</v>
      </c>
      <c r="X12" s="94">
        <f>IF('Control 3'!$Q$9&lt;=Estratégia!$X$6,0.5,0)+IF('Control 3'!$S$9&gt;=Estratégia!$X$6,0.5,0)</f>
        <v>0.5</v>
      </c>
      <c r="Y12" s="94">
        <f>IF('Control 3'!$Q$9&lt;=Estratégia!$Y$6,0.5,0)+IF('Control 3'!$S$9&gt;=Estratégia!$Y$6,0.5,0)</f>
        <v>0.5</v>
      </c>
      <c r="Z12" s="79" t="str">
        <f ca="1">IF(OR(AA12&lt;&gt;"",'Control 3'!$D$15="No Planificado"),'Control 3'!$D$15,IF(AND(AA12="",MONTH(TODAY())&gt;'Control 3'!$S$9),"Retrasado","A Tiempo"))</f>
        <v>A Tiempo</v>
      </c>
      <c r="AA12" s="76" t="str">
        <f>IF('Control 3'!$D$12="","",'Control 3'!$D$12)</f>
        <v>Melhor Prática</v>
      </c>
      <c r="AB12" s="77">
        <f t="shared" si="2"/>
        <v>5.0000000000000001E-3</v>
      </c>
      <c r="AC12" s="78">
        <f t="shared" si="4"/>
        <v>1</v>
      </c>
      <c r="AD12" s="103">
        <f>'Control 3'!$F$12</f>
        <v>3</v>
      </c>
      <c r="AE12" s="103">
        <f>'Control 3'!$G$12</f>
        <v>3</v>
      </c>
      <c r="AF12" s="103">
        <f>'Control 3'!$H$12</f>
        <v>3</v>
      </c>
      <c r="AG12" s="103">
        <f>'Control 3'!$I$12</f>
        <v>3</v>
      </c>
    </row>
    <row r="13" spans="1:33" ht="45.75" customHeight="1" x14ac:dyDescent="0.25">
      <c r="B13" s="115" t="s">
        <v>124</v>
      </c>
      <c r="C13" s="100" t="s">
        <v>85</v>
      </c>
      <c r="D13" s="71" t="s">
        <v>128</v>
      </c>
      <c r="E13" s="74">
        <v>1.4999999999999999E-2</v>
      </c>
      <c r="F13" s="76" t="str">
        <f>'Control 4'!$D$7</f>
        <v>Parcial</v>
      </c>
      <c r="G13" s="88">
        <f t="shared" si="0"/>
        <v>6.0000000000000001E-3</v>
      </c>
      <c r="H13" s="103">
        <f>'Control 4'!$F$7</f>
        <v>3</v>
      </c>
      <c r="I13" s="103">
        <f>'Control 4'!$G$7</f>
        <v>2</v>
      </c>
      <c r="J13" s="103">
        <f>'Control 4'!$H$7</f>
        <v>1</v>
      </c>
      <c r="K13" s="103">
        <f>'Control 4'!$I$7</f>
        <v>3</v>
      </c>
      <c r="L13" s="76" t="str">
        <f>IF('Control 4'!$D$10="","",'Control 4'!$D$10)</f>
        <v>Melhor Prática</v>
      </c>
      <c r="M13" s="77">
        <f t="shared" si="1"/>
        <v>1.4999999999999999E-2</v>
      </c>
      <c r="N13" s="78">
        <f t="shared" si="3"/>
        <v>0.4</v>
      </c>
      <c r="O13" s="103" t="str">
        <f>'Control 4'!$F$10</f>
        <v>-</v>
      </c>
      <c r="P13" s="103" t="str">
        <f>'Control 4'!$G$10</f>
        <v>-</v>
      </c>
      <c r="Q13" s="103" t="str">
        <f>'Control 4'!$H$10</f>
        <v>-</v>
      </c>
      <c r="R13" s="103" t="str">
        <f>'Control 4'!$I$10</f>
        <v>-</v>
      </c>
      <c r="S13" s="118">
        <f>IF('Control 4'!$M$10="","",'Control 4'!$M$10)</f>
        <v>3</v>
      </c>
      <c r="T13" s="104" t="str">
        <f>IF('Control 4'!$O$10="","",'Control 4'!$O$10)</f>
        <v>Alta</v>
      </c>
      <c r="U13" s="95">
        <f>IF('Control 4'!$Q$9&lt;=Estratégia!$U$6,0.5,0)+IF('Control 4'!$S$9&gt;=Control!$U$6,0.5,0)</f>
        <v>0.5</v>
      </c>
      <c r="V13" s="94">
        <f>IF('Control 4'!$Q$9&lt;=Estratégia!$V$6,0.5,0)+IF('Control 4'!$S$9&gt;=Estratégia!$V$6,0.5,0)</f>
        <v>0.5</v>
      </c>
      <c r="W13" s="94">
        <f>IF('Control 4'!$Q$9&lt;=Estratégia!$W$6,0.5,0)+IF('Control 4'!$S$9&gt;=Estratégia!$W$6,0.5,0)</f>
        <v>0.5</v>
      </c>
      <c r="X13" s="94">
        <f>IF('Control 4'!$Q$9&lt;=Estratégia!$X$6,0.5,0)+IF('Control 4'!$S$9&gt;=Estratégia!$X$6,0.5,0)</f>
        <v>0.5</v>
      </c>
      <c r="Y13" s="94">
        <f>IF('Control 4'!$Q$9&lt;=Estratégia!$Y$6,0.5,0)+IF('Control 4'!$S$9&gt;=Estratégia!$Y$6,0.5,0)</f>
        <v>0.5</v>
      </c>
      <c r="Z13" s="79" t="str">
        <f ca="1">IF(OR(AA13&lt;&gt;"",'Control 4'!$D$15="No Planificado"),'Control 4'!$D$15,IF(AND(AA13="",MONTH(TODAY())&gt;'Control 4'!$S$9),"Retrasado","A Tiempo"))</f>
        <v>Retrasado</v>
      </c>
      <c r="AA13" s="76" t="str">
        <f>IF('Control 4'!$D$12="","",'Control 4'!$D$12)</f>
        <v>Melhor Prática</v>
      </c>
      <c r="AB13" s="77">
        <f t="shared" si="2"/>
        <v>1.4999999999999999E-2</v>
      </c>
      <c r="AC13" s="78">
        <f t="shared" si="4"/>
        <v>1</v>
      </c>
      <c r="AD13" s="103">
        <f>'Control 4'!$F$12</f>
        <v>3</v>
      </c>
      <c r="AE13" s="103">
        <f>'Control 4'!$G$12</f>
        <v>3</v>
      </c>
      <c r="AF13" s="103">
        <f>'Control 4'!$H$12</f>
        <v>3</v>
      </c>
      <c r="AG13" s="103">
        <f>'Control 4'!$I$12</f>
        <v>3</v>
      </c>
    </row>
    <row r="14" spans="1:33" ht="45.75" customHeight="1" x14ac:dyDescent="0.25">
      <c r="B14" s="115" t="s">
        <v>118</v>
      </c>
      <c r="C14" s="100" t="s">
        <v>88</v>
      </c>
      <c r="D14" s="73" t="s">
        <v>130</v>
      </c>
      <c r="E14" s="72">
        <v>0.02</v>
      </c>
      <c r="F14" s="76" t="str">
        <f>'Control 5'!$D$7</f>
        <v>Não cumpre</v>
      </c>
      <c r="G14" s="88">
        <f t="shared" si="0"/>
        <v>0</v>
      </c>
      <c r="H14" s="103">
        <f>'Control 5'!$F$7</f>
        <v>1</v>
      </c>
      <c r="I14" s="103">
        <f>'Control 5'!$G$7</f>
        <v>3</v>
      </c>
      <c r="J14" s="103">
        <f>'Control 5'!$H$7</f>
        <v>1</v>
      </c>
      <c r="K14" s="103">
        <f>'Control 5'!$I$7</f>
        <v>1</v>
      </c>
      <c r="L14" s="76" t="str">
        <f>IF('Control 5'!$D$10="","",'Control 5'!$D$10)</f>
        <v>Mais que Cumpre</v>
      </c>
      <c r="M14" s="77">
        <f t="shared" si="1"/>
        <v>1.7000000000000001E-2</v>
      </c>
      <c r="N14" s="78">
        <f t="shared" si="3"/>
        <v>0</v>
      </c>
      <c r="O14" s="103" t="str">
        <f>'Control 5'!$F$10</f>
        <v>-</v>
      </c>
      <c r="P14" s="103" t="str">
        <f>'Control 5'!$G$10</f>
        <v>D</v>
      </c>
      <c r="Q14" s="103" t="str">
        <f>'Control 5'!$H$10</f>
        <v>D</v>
      </c>
      <c r="R14" s="103" t="str">
        <f>'Control 5'!$I$10</f>
        <v>D</v>
      </c>
      <c r="S14" s="118">
        <f>IF('Control 5'!$M$10="","",'Control 5'!$M$10)</f>
        <v>2</v>
      </c>
      <c r="T14" s="104" t="str">
        <f>IF('Control 5'!$O$10="","",'Control 5'!$O$10)</f>
        <v/>
      </c>
      <c r="U14" s="95">
        <f>IF('Control 5'!$Q$9&lt;=Estratégia!$U$6,0.5,0)+IF('Control 5'!$S$9&gt;=Control!$U$6,0.5,0)</f>
        <v>0.5</v>
      </c>
      <c r="V14" s="94">
        <f>IF('Control 5'!$Q$9&lt;=Estratégia!$V$6,0.5,0)+IF('Control 5'!$S$9&gt;=Estratégia!$V$6,0.5,0)</f>
        <v>0.5</v>
      </c>
      <c r="W14" s="94">
        <f>IF('Control 5'!$Q$9&lt;=Estratégia!$W$6,0.5,0)+IF('Control 5'!$S$9&gt;=Estratégia!$W$6,0.5,0)</f>
        <v>0.5</v>
      </c>
      <c r="X14" s="94">
        <f>IF('Control 5'!$Q$9&lt;=Estratégia!$X$6,0.5,0)+IF('Control 5'!$S$9&gt;=Estratégia!$X$6,0.5,0)</f>
        <v>0.5</v>
      </c>
      <c r="Y14" s="94">
        <f>IF('Control 5'!$Q$9&lt;=Estratégia!$Y$6,0.5,0)+IF('Control 5'!$S$9&gt;=Estratégia!$Y$6,0.5,0)</f>
        <v>0.5</v>
      </c>
      <c r="Z14" s="79" t="str">
        <f ca="1">IF(OR(AA14&lt;&gt;"",'Control 5'!$D$15="No Planificado"),'Control 5'!$D$15,IF(AND(AA14="",MONTH(TODAY())&gt;'Control 5'!$S$9),"Retrasado","A Tiempo"))</f>
        <v>No Planificado</v>
      </c>
      <c r="AA14" s="76" t="str">
        <f>IF('Control 5'!$D$12="","",'Control 5'!$D$12)</f>
        <v>Mais que cumpre</v>
      </c>
      <c r="AB14" s="77">
        <f t="shared" si="2"/>
        <v>1.7000000000000001E-2</v>
      </c>
      <c r="AC14" s="78">
        <f t="shared" si="4"/>
        <v>1</v>
      </c>
      <c r="AD14" s="103">
        <f>'Control 5'!$F$12</f>
        <v>3</v>
      </c>
      <c r="AE14" s="103">
        <f>'Control 5'!$G$12</f>
        <v>3</v>
      </c>
      <c r="AF14" s="103">
        <f>'Control 5'!$H$12</f>
        <v>3</v>
      </c>
      <c r="AG14" s="103">
        <f>'Control 5'!$I$12</f>
        <v>1</v>
      </c>
    </row>
    <row r="15" spans="1:33" ht="45.75" customHeight="1" x14ac:dyDescent="0.25">
      <c r="B15" s="115" t="s">
        <v>131</v>
      </c>
      <c r="C15" s="100" t="s">
        <v>90</v>
      </c>
      <c r="D15" s="73" t="s">
        <v>132</v>
      </c>
      <c r="E15" s="72">
        <v>0.01</v>
      </c>
      <c r="F15" s="76" t="str">
        <f>'Control 6'!$D$7</f>
        <v>Não cumpre</v>
      </c>
      <c r="G15" s="88">
        <f t="shared" si="0"/>
        <v>0</v>
      </c>
      <c r="H15" s="103">
        <f>'Control 6'!$F$7</f>
        <v>2</v>
      </c>
      <c r="I15" s="103">
        <f>'Control 6'!$G$7</f>
        <v>1</v>
      </c>
      <c r="J15" s="103">
        <f>'Control 6'!$H$7</f>
        <v>1</v>
      </c>
      <c r="K15" s="103">
        <f>'Control 6'!$I$7</f>
        <v>1</v>
      </c>
      <c r="L15" s="76" t="str">
        <f>IF('Control 6'!$D$10="","",'Control 6'!$D$10)</f>
        <v>Melhor Prática</v>
      </c>
      <c r="M15" s="77">
        <f t="shared" si="1"/>
        <v>0.01</v>
      </c>
      <c r="N15" s="78">
        <f t="shared" si="3"/>
        <v>0</v>
      </c>
      <c r="O15" s="103" t="str">
        <f>'Control 6'!$F$10</f>
        <v>-</v>
      </c>
      <c r="P15" s="103" t="str">
        <f>'Control 6'!$G$10</f>
        <v>D</v>
      </c>
      <c r="Q15" s="103" t="str">
        <f>'Control 6'!$H$10</f>
        <v>D</v>
      </c>
      <c r="R15" s="103" t="str">
        <f>'Control 6'!$I$10</f>
        <v>-</v>
      </c>
      <c r="S15" s="118">
        <f>IF('Control 6'!$M$10="","",'Control 6'!$M$10)</f>
        <v>3</v>
      </c>
      <c r="T15" s="104" t="str">
        <f>IF('Control 6'!$O$10="","",'Control 6'!$O$10)</f>
        <v>Alta</v>
      </c>
      <c r="U15" s="95">
        <f>IF('Control 6'!$Q$9&lt;=Estratégia!$U$6,0.5,0)+IF('Control 6'!$S$9&gt;=Control!$U$6,0.5,0)</f>
        <v>0.5</v>
      </c>
      <c r="V15" s="94">
        <f>IF('Control 6'!$Q$9&lt;=Estratégia!$V$6,0.5,0)+IF('Control 6'!$S$9&gt;=Estratégia!$V$6,0.5,0)</f>
        <v>0.5</v>
      </c>
      <c r="W15" s="94">
        <f>IF('Control 6'!$Q$9&lt;=Estratégia!$W$6,0.5,0)+IF('Control 6'!$S$9&gt;=Estratégia!$W$6,0.5,0)</f>
        <v>0.5</v>
      </c>
      <c r="X15" s="94">
        <f>IF('Control 6'!$Q$9&lt;=Estratégia!$X$6,0.5,0)+IF('Control 6'!$S$9&gt;=Estratégia!$X$6,0.5,0)</f>
        <v>0.5</v>
      </c>
      <c r="Y15" s="94">
        <f>IF('Control 6'!$Q$9&lt;=Estratégia!$Y$6,0.5,0)+IF('Control 6'!$S$9&gt;=Estratégia!$Y$6,0.5,0)</f>
        <v>0.5</v>
      </c>
      <c r="Z15" s="79" t="str">
        <f ca="1">IF(OR(AA15&lt;&gt;"",'Control 6'!$D$15="No Planificado"),'Control 6'!$D$15,IF(AND(AA15="",MONTH(TODAY())&gt;'Control 6'!$S$9),"Retrasado","A Tiempo"))</f>
        <v>Retrasado</v>
      </c>
      <c r="AA15" s="76" t="str">
        <f>IF('Control 6'!$D$12="","",'Control 6'!$D$12)</f>
        <v>Melhor Prática</v>
      </c>
      <c r="AB15" s="77">
        <f t="shared" si="2"/>
        <v>0.01</v>
      </c>
      <c r="AC15" s="78">
        <f t="shared" si="4"/>
        <v>1</v>
      </c>
      <c r="AD15" s="103">
        <f>'Control 6'!$F$12</f>
        <v>3</v>
      </c>
      <c r="AE15" s="103">
        <f>'Control 6'!$G$12</f>
        <v>3</v>
      </c>
      <c r="AF15" s="103">
        <f>'Control 6'!$H$12</f>
        <v>3</v>
      </c>
      <c r="AG15" s="103">
        <f>'Control 6'!$I$12</f>
        <v>3</v>
      </c>
    </row>
    <row r="16" spans="1:33" ht="45.75" customHeight="1" x14ac:dyDescent="0.25">
      <c r="B16" s="115" t="s">
        <v>131</v>
      </c>
      <c r="C16" s="100" t="s">
        <v>93</v>
      </c>
      <c r="D16" s="73" t="s">
        <v>133</v>
      </c>
      <c r="E16" s="72">
        <v>0.01</v>
      </c>
      <c r="F16" s="76" t="str">
        <f>'Control 7'!$D$7</f>
        <v/>
      </c>
      <c r="G16" s="88">
        <f t="shared" si="0"/>
        <v>0</v>
      </c>
      <c r="H16" s="103" t="str">
        <f>'Control 7'!$F$7</f>
        <v/>
      </c>
      <c r="I16" s="103" t="str">
        <f>'Control 7'!$G$7</f>
        <v/>
      </c>
      <c r="J16" s="103" t="str">
        <f>'Control 7'!$H$7</f>
        <v/>
      </c>
      <c r="K16" s="103" t="str">
        <f>'Control 7'!$I$7</f>
        <v/>
      </c>
      <c r="L16" s="76" t="str">
        <f>IF('Control 7'!$D$10="","",'Control 7'!$D$10)</f>
        <v>Mais que Cumpre</v>
      </c>
      <c r="M16" s="77">
        <f t="shared" si="1"/>
        <v>8.5000000000000006E-3</v>
      </c>
      <c r="N16" s="78">
        <f t="shared" si="3"/>
        <v>0</v>
      </c>
      <c r="O16" s="103" t="str">
        <f>'Control 7'!$F$10</f>
        <v>-</v>
      </c>
      <c r="P16" s="103" t="str">
        <f>'Control 7'!$G$10</f>
        <v>D</v>
      </c>
      <c r="Q16" s="103" t="str">
        <f>'Control 7'!$H$10</f>
        <v>-</v>
      </c>
      <c r="R16" s="103" t="str">
        <f>'Control 7'!$I$10</f>
        <v>-</v>
      </c>
      <c r="S16" s="118">
        <f>IF('Control 7'!$M$10="","",'Control 7'!$M$10)</f>
        <v>1</v>
      </c>
      <c r="T16" s="104" t="str">
        <f>IF('Control 7'!$O$10="","",'Control 7'!$O$10)</f>
        <v>Baja</v>
      </c>
      <c r="U16" s="95">
        <f>IF('Control 7'!$Q$9&lt;=Estratégia!$U$6,0.5,0)+IF('Control 7'!$S$9&gt;=Control!$U$6,0.5,0)</f>
        <v>0.5</v>
      </c>
      <c r="V16" s="94">
        <f>IF('Control 7'!$Q$9&lt;=Estratégia!$V$6,0.5,0)+IF('Control 7'!$S$9&gt;=Estratégia!$V$6,0.5,0)</f>
        <v>0.5</v>
      </c>
      <c r="W16" s="94">
        <f>IF('Control 7'!$Q$9&lt;=Estratégia!$W$6,0.5,0)+IF('Control 7'!$S$9&gt;=Estratégia!$W$6,0.5,0)</f>
        <v>0.5</v>
      </c>
      <c r="X16" s="94">
        <f>IF('Control 7'!$Q$9&lt;=Estratégia!$X$6,0.5,0)+IF('Control 7'!$S$9&gt;=Estratégia!$X$6,0.5,0)</f>
        <v>0.5</v>
      </c>
      <c r="Y16" s="94">
        <f>IF('Control 7'!$Q$9&lt;=Estratégia!$Y$6,0.5,0)+IF('Control 7'!$S$9&gt;=Estratégia!$Y$6,0.5,0)</f>
        <v>0.5</v>
      </c>
      <c r="Z16" s="79" t="str">
        <f ca="1">IF(OR(AA16&lt;&gt;"",'Control 7'!$D$15="No Planificado"),'Control 7'!$D$15,IF(AND(AA16="",MONTH(TODAY())&gt;'Control 7'!$S$9),"Retrasado","A Tiempo"))</f>
        <v>Retrasado</v>
      </c>
      <c r="AA16" s="76" t="str">
        <f>IF('Control 7'!$D$12="","",'Control 7'!$D$12)</f>
        <v>Não cumpre</v>
      </c>
      <c r="AB16" s="77">
        <f t="shared" si="2"/>
        <v>0</v>
      </c>
      <c r="AC16" s="78">
        <f t="shared" si="4"/>
        <v>0</v>
      </c>
      <c r="AD16" s="103">
        <f>'Control 7'!$F$12</f>
        <v>1</v>
      </c>
      <c r="AE16" s="103" t="str">
        <f>'Control 7'!$G$12</f>
        <v/>
      </c>
      <c r="AF16" s="103" t="str">
        <f>'Control 7'!$H$12</f>
        <v/>
      </c>
      <c r="AG16" s="103" t="str">
        <f>'Control 7'!$I$12</f>
        <v/>
      </c>
    </row>
    <row r="17" spans="2:33" ht="45.75" customHeight="1" x14ac:dyDescent="0.25">
      <c r="B17" s="115" t="s">
        <v>131</v>
      </c>
      <c r="C17" s="100" t="s">
        <v>95</v>
      </c>
      <c r="D17" s="71" t="s">
        <v>134</v>
      </c>
      <c r="E17" s="74">
        <v>2.5000000000000001E-2</v>
      </c>
      <c r="F17" s="76" t="str">
        <f>'Control 8'!$D$7</f>
        <v>Não cumpre</v>
      </c>
      <c r="G17" s="88">
        <f t="shared" si="0"/>
        <v>0</v>
      </c>
      <c r="H17" s="103">
        <f>'Control 8'!$F$7</f>
        <v>1</v>
      </c>
      <c r="I17" s="103">
        <f>'Control 8'!$G$7</f>
        <v>2</v>
      </c>
      <c r="J17" s="103" t="str">
        <f>'Control 8'!$H$7</f>
        <v/>
      </c>
      <c r="K17" s="103" t="str">
        <f>'Control 8'!$I$7</f>
        <v/>
      </c>
      <c r="L17" s="76" t="str">
        <f>IF('Control 8'!$D$10="","",'Control 8'!$D$10)</f>
        <v>Mais que Cumpre</v>
      </c>
      <c r="M17" s="77">
        <f t="shared" si="1"/>
        <v>2.1250000000000002E-2</v>
      </c>
      <c r="N17" s="78">
        <f t="shared" si="3"/>
        <v>0</v>
      </c>
      <c r="O17" s="103" t="str">
        <f>'Control 8'!$F$10</f>
        <v>D</v>
      </c>
      <c r="P17" s="103" t="str">
        <f>'Control 8'!$G$10</f>
        <v>D</v>
      </c>
      <c r="Q17" s="103" t="str">
        <f>'Control 8'!$H$10</f>
        <v>D</v>
      </c>
      <c r="R17" s="103" t="str">
        <f>'Control 8'!$I$10</f>
        <v>D</v>
      </c>
      <c r="S17" s="118">
        <f>IF('Control 8'!$M$10="","",'Control 8'!$M$10)</f>
        <v>2</v>
      </c>
      <c r="T17" s="104" t="str">
        <f>IF('Control 8'!$O$10="","",'Control 8'!$O$10)</f>
        <v>Alta</v>
      </c>
      <c r="U17" s="95">
        <f>IF('Control 8'!$Q$9&lt;=Estratégia!$U$6,0.5,0)+IF('Control 8'!$S$9&gt;=Control!$U$6,0.5,0)</f>
        <v>0.5</v>
      </c>
      <c r="V17" s="94">
        <f>IF('Control 8'!$Q$9&lt;=Estratégia!$V$6,0.5,0)+IF('Control 8'!$S$9&gt;=Estratégia!$V$6,0.5,0)</f>
        <v>0.5</v>
      </c>
      <c r="W17" s="94">
        <f>IF('Control 8'!$Q$9&lt;=Estratégia!$W$6,0.5,0)+IF('Control 8'!$S$9&gt;=Estratégia!$W$6,0.5,0)</f>
        <v>0.5</v>
      </c>
      <c r="X17" s="94">
        <f>IF('Control 8'!$Q$9&lt;=Estratégia!$X$6,0.5,0)+IF('Control 8'!$S$9&gt;=Estratégia!$X$6,0.5,0)</f>
        <v>0.5</v>
      </c>
      <c r="Y17" s="94">
        <f>IF('Control 8'!$Q$9&lt;=Estratégia!$Y$6,0.5,0)+IF('Control 8'!$S$9&gt;=Estratégia!$Y$6,0.5,0)</f>
        <v>0.5</v>
      </c>
      <c r="Z17" s="79" t="str">
        <f ca="1">IF(OR(AA17&lt;&gt;"",'Control 8'!$D$15="No Planificado"),'Control 8'!$D$15,IF(AND(AA17="",MONTH(TODAY())&gt;'Control 8'!$S$9),"Retrasado","A Tiempo"))</f>
        <v>Retrasado</v>
      </c>
      <c r="AA17" s="76" t="str">
        <f>IF('Control 8'!$D$12="","",'Control 8'!$D$12)</f>
        <v>Parcial</v>
      </c>
      <c r="AB17" s="77">
        <f t="shared" si="2"/>
        <v>1.0000000000000002E-2</v>
      </c>
      <c r="AC17" s="78">
        <f t="shared" si="4"/>
        <v>0.4705882352941177</v>
      </c>
      <c r="AD17" s="103">
        <f>'Control 8'!$F$12</f>
        <v>3</v>
      </c>
      <c r="AE17" s="103">
        <f>'Control 8'!$G$12</f>
        <v>2</v>
      </c>
      <c r="AF17" s="103" t="str">
        <f>'Control 8'!$H$12</f>
        <v/>
      </c>
      <c r="AG17" s="103" t="str">
        <f>'Control 8'!$I$12</f>
        <v/>
      </c>
    </row>
    <row r="18" spans="2:33" ht="45.75" customHeight="1" x14ac:dyDescent="0.25">
      <c r="B18" s="115" t="s">
        <v>131</v>
      </c>
      <c r="C18" s="100" t="s">
        <v>97</v>
      </c>
      <c r="D18" s="73" t="s">
        <v>135</v>
      </c>
      <c r="E18" s="72">
        <v>2.5000000000000001E-2</v>
      </c>
      <c r="F18" s="76" t="str">
        <f>'Control 9'!$D$7</f>
        <v/>
      </c>
      <c r="G18" s="88">
        <f t="shared" si="0"/>
        <v>0</v>
      </c>
      <c r="H18" s="103" t="str">
        <f>'Control 9'!$F$7</f>
        <v/>
      </c>
      <c r="I18" s="103" t="str">
        <f>'Control 9'!$G$7</f>
        <v/>
      </c>
      <c r="J18" s="103" t="str">
        <f>'Control 9'!$H$7</f>
        <v/>
      </c>
      <c r="K18" s="103" t="str">
        <f>'Control 9'!$I$7</f>
        <v/>
      </c>
      <c r="L18" s="76" t="str">
        <f>IF('Control 9'!$D$10="","",'Control 9'!$D$10)</f>
        <v>Melhor Prática</v>
      </c>
      <c r="M18" s="77">
        <f t="shared" si="1"/>
        <v>2.5000000000000001E-2</v>
      </c>
      <c r="N18" s="78">
        <f t="shared" si="3"/>
        <v>0</v>
      </c>
      <c r="O18" s="103" t="str">
        <f>'Control 9'!$F$10</f>
        <v>-</v>
      </c>
      <c r="P18" s="103" t="str">
        <f>'Control 9'!$G$10</f>
        <v>D</v>
      </c>
      <c r="Q18" s="103" t="str">
        <f>'Control 9'!$H$10</f>
        <v>D</v>
      </c>
      <c r="R18" s="103" t="str">
        <f>'Control 9'!$I$10</f>
        <v>D</v>
      </c>
      <c r="S18" s="118">
        <f>IF('Control 9'!$M$10="","",'Control 9'!$M$10)</f>
        <v>1</v>
      </c>
      <c r="T18" s="104" t="str">
        <f>IF('Control 9'!$O$10="","",'Control 9'!$O$10)</f>
        <v>Alta</v>
      </c>
      <c r="U18" s="95">
        <f>IF('Control 9'!$Q$9&lt;=Estratégia!$U$6,0.5,0)+IF('Control 9'!$S$9&gt;=Control!$U$6,0.5,0)</f>
        <v>0.5</v>
      </c>
      <c r="V18" s="94">
        <f>IF('Control 9'!$Q$9&lt;=Estratégia!$V$6,0.5,0)+IF('Control 9'!$S$9&gt;=Estratégia!$V$6,0.5,0)</f>
        <v>0.5</v>
      </c>
      <c r="W18" s="94">
        <f>IF('Control 9'!$Q$9&lt;=Estratégia!$W$6,0.5,0)+IF('Control 9'!$S$9&gt;=Estratégia!$W$6,0.5,0)</f>
        <v>0.5</v>
      </c>
      <c r="X18" s="94">
        <f>IF('Control 9'!$Q$9&lt;=Estratégia!$X$6,0.5,0)+IF('Control 9'!$S$9&gt;=Estratégia!$X$6,0.5,0)</f>
        <v>0.5</v>
      </c>
      <c r="Y18" s="94">
        <f>IF('Control 9'!$Q$9&lt;=Estratégia!$Y$6,0.5,0)+IF('Control 9'!$S$9&gt;=Estratégia!$Y$6,0.5,0)</f>
        <v>0.5</v>
      </c>
      <c r="Z18" s="79" t="str">
        <f ca="1">IF(OR(AA18&lt;&gt;"",'Control 9'!$D$15="No Planificado"),'Control 9'!$D$15,IF(AND(AA18="",MONTH(TODAY())&gt;'Control 9'!$S$9),"Retrasado","A Tiempo"))</f>
        <v>Retrasado</v>
      </c>
      <c r="AA18" s="76" t="str">
        <f>IF('Control 9'!$D$12="","",'Control 9'!$D$12)</f>
        <v>Melhor Prática</v>
      </c>
      <c r="AB18" s="77">
        <f t="shared" si="2"/>
        <v>2.5000000000000001E-2</v>
      </c>
      <c r="AC18" s="78">
        <f t="shared" si="4"/>
        <v>1</v>
      </c>
      <c r="AD18" s="103">
        <f>'Control 9'!$F$12</f>
        <v>3</v>
      </c>
      <c r="AE18" s="103">
        <f>'Control 9'!$G$12</f>
        <v>3</v>
      </c>
      <c r="AF18" s="103">
        <f>'Control 9'!$H$12</f>
        <v>3</v>
      </c>
      <c r="AG18" s="103">
        <f>'Control 9'!$I$12</f>
        <v>3</v>
      </c>
    </row>
    <row r="19" spans="2:33" ht="45.75" customHeight="1" x14ac:dyDescent="0.25">
      <c r="B19" s="115" t="s">
        <v>136</v>
      </c>
      <c r="C19" s="100" t="s">
        <v>100</v>
      </c>
      <c r="D19" s="71" t="s">
        <v>137</v>
      </c>
      <c r="E19" s="74">
        <v>2.5000000000000001E-2</v>
      </c>
      <c r="F19" s="76" t="str">
        <f>'Control 10'!$D$7</f>
        <v>Não cumpre</v>
      </c>
      <c r="G19" s="88">
        <f t="shared" si="0"/>
        <v>0</v>
      </c>
      <c r="H19" s="103">
        <f>'Control 10'!$F$7</f>
        <v>1</v>
      </c>
      <c r="I19" s="103">
        <f>'Control 10'!$G$7</f>
        <v>1</v>
      </c>
      <c r="J19" s="103" t="str">
        <f>'Control 10'!$H$7</f>
        <v/>
      </c>
      <c r="K19" s="103" t="str">
        <f>'Control 10'!$I$7</f>
        <v/>
      </c>
      <c r="L19" s="76" t="str">
        <f>IF('Control 10'!$D$10="","",'Control 10'!$D$10)</f>
        <v>Cumpre</v>
      </c>
      <c r="M19" s="77">
        <f t="shared" si="1"/>
        <v>1.7499999999999998E-2</v>
      </c>
      <c r="N19" s="78">
        <f t="shared" si="3"/>
        <v>0</v>
      </c>
      <c r="O19" s="103" t="str">
        <f>'Control 10'!$F$10</f>
        <v>-</v>
      </c>
      <c r="P19" s="103" t="str">
        <f>'Control 10'!$G$10</f>
        <v>-</v>
      </c>
      <c r="Q19" s="103" t="str">
        <f>'Control 10'!$H$10</f>
        <v>-</v>
      </c>
      <c r="R19" s="103" t="str">
        <f>'Control 10'!$I$10</f>
        <v>-</v>
      </c>
      <c r="S19" s="118">
        <f>IF('Control 10'!$M$10="","",'Control 10'!$M$10)</f>
        <v>1</v>
      </c>
      <c r="T19" s="104" t="str">
        <f>IF('Control 10'!$O$10="","",'Control 10'!$O$10)</f>
        <v>Alta</v>
      </c>
      <c r="U19" s="95">
        <f>IF('Control 10'!$Q$9&lt;=Estratégia!$U$6,0.5,0)+IF('Control 10'!$S$9&gt;=Control!$U$6,0.5,0)</f>
        <v>0.5</v>
      </c>
      <c r="V19" s="94">
        <f>IF('Control 10'!$Q$9&lt;=Estratégia!$V$6,0.5,0)+IF('Control 10'!$S$9&gt;=Estratégia!$V$6,0.5,0)</f>
        <v>0.5</v>
      </c>
      <c r="W19" s="94">
        <f>IF('Control 10'!$Q$9&lt;=Estratégia!$W$6,0.5,0)+IF('Control 10'!$S$9&gt;=Estratégia!$W$6,0.5,0)</f>
        <v>1</v>
      </c>
      <c r="X19" s="94">
        <f>IF('Control 10'!$Q$9&lt;=Estratégia!$X$6,0.5,0)+IF('Control 10'!$S$9&gt;=Estratégia!$X$6,0.5,0)</f>
        <v>1</v>
      </c>
      <c r="Y19" s="94">
        <f>IF('Control 10'!$Q$9&lt;=Estratégia!$Y$6,0.5,0)+IF('Control 10'!$S$9&gt;=Estratégia!$Y$6,0.5,0)</f>
        <v>1</v>
      </c>
      <c r="Z19" s="79" t="str">
        <f ca="1">IF(OR(AA19&lt;&gt;"",'Control 10'!$D$15="No Planificado"),'Control 10'!$D$15,IF(AND(AA19="",MONTH(TODAY())&gt;'Control 10'!$S$9),"Retrasado","A Tiempo"))</f>
        <v>Retrasado</v>
      </c>
      <c r="AA19" s="76" t="str">
        <f>IF('Control 10'!$D$12="","",'Control 10'!$D$12)</f>
        <v>Cumpre</v>
      </c>
      <c r="AB19" s="77">
        <f t="shared" si="2"/>
        <v>1.7499999999999998E-2</v>
      </c>
      <c r="AC19" s="78">
        <f t="shared" si="4"/>
        <v>1</v>
      </c>
      <c r="AD19" s="103">
        <f>'Control 10'!$F$12</f>
        <v>3</v>
      </c>
      <c r="AE19" s="103">
        <f>'Control 10'!$G$12</f>
        <v>3</v>
      </c>
      <c r="AF19" s="103" t="str">
        <f>'Control 10'!$H$12</f>
        <v/>
      </c>
      <c r="AG19" s="103" t="str">
        <f>'Control 10'!$I$12</f>
        <v/>
      </c>
    </row>
    <row r="20" spans="2:33" ht="45.75" customHeight="1" x14ac:dyDescent="0.25">
      <c r="B20" s="115" t="s">
        <v>136</v>
      </c>
      <c r="C20" s="100" t="s">
        <v>103</v>
      </c>
      <c r="D20" s="73" t="s">
        <v>138</v>
      </c>
      <c r="E20" s="72">
        <v>1.4999999999999999E-2</v>
      </c>
      <c r="F20" s="76" t="str">
        <f>'Control 11'!$D$7</f>
        <v>Não cumpre</v>
      </c>
      <c r="G20" s="88">
        <f t="shared" si="0"/>
        <v>0</v>
      </c>
      <c r="H20" s="103">
        <f>'Control 11'!$F$7</f>
        <v>1</v>
      </c>
      <c r="I20" s="103">
        <f>'Control 11'!$G$7</f>
        <v>1</v>
      </c>
      <c r="J20" s="103" t="str">
        <f>'Control 11'!$H$7</f>
        <v/>
      </c>
      <c r="K20" s="103" t="str">
        <f>'Control 11'!$I$7</f>
        <v/>
      </c>
      <c r="L20" s="76" t="str">
        <f>IF('Control 11'!$D$10="","",'Control 11'!$D$10)</f>
        <v>Mais que Cumpre</v>
      </c>
      <c r="M20" s="77">
        <f t="shared" si="1"/>
        <v>1.2749999999999999E-2</v>
      </c>
      <c r="N20" s="78">
        <f t="shared" si="3"/>
        <v>0</v>
      </c>
      <c r="O20" s="103" t="str">
        <f>'Control 11'!$F$10</f>
        <v>-</v>
      </c>
      <c r="P20" s="103" t="str">
        <f>'Control 11'!$G$10</f>
        <v>D</v>
      </c>
      <c r="Q20" s="103" t="str">
        <f>'Control 11'!$H$10</f>
        <v>D</v>
      </c>
      <c r="R20" s="103" t="str">
        <f>'Control 11'!$I$10</f>
        <v>-</v>
      </c>
      <c r="S20" s="118">
        <f>IF('Control 11'!$M$10="","",'Control 11'!$M$10)</f>
        <v>2</v>
      </c>
      <c r="T20" s="104" t="str">
        <f>IF('Control 11'!$O$10="","",'Control 11'!$O$10)</f>
        <v>Alta</v>
      </c>
      <c r="U20" s="95">
        <f>IF('Control 11'!$Q$9&lt;=Estratégia!$U$6,0.5,0)+IF('Control 11'!$S$9&gt;=Control!$U$6,0.5,0)</f>
        <v>0.5</v>
      </c>
      <c r="V20" s="94">
        <f>IF('Control 11'!$Q$9&lt;=Estratégia!$V$6,0.5,0)+IF('Control 11'!$S$9&gt;=Estratégia!$V$6,0.5,0)</f>
        <v>0.5</v>
      </c>
      <c r="W20" s="94">
        <f>IF('Control 11'!$Q$9&lt;=Estratégia!$W$6,0.5,0)+IF('Control 11'!$S$9&gt;=Estratégia!$W$6,0.5,0)</f>
        <v>0.5</v>
      </c>
      <c r="X20" s="94">
        <f>IF('Control 11'!$Q$9&lt;=Estratégia!$X$6,0.5,0)+IF('Control 11'!$S$9&gt;=Estratégia!$X$6,0.5,0)</f>
        <v>0.5</v>
      </c>
      <c r="Y20" s="94">
        <f>IF('Control 11'!$Q$9&lt;=Estratégia!$Y$6,0.5,0)+IF('Control 11'!$S$9&gt;=Estratégia!$Y$6,0.5,0)</f>
        <v>0.5</v>
      </c>
      <c r="Z20" s="79" t="str">
        <f ca="1">IF(OR(AA20&lt;&gt;"",'Control 11'!$D$15="No Planificado"),'Control 11'!$D$15,IF(AND(AA20="",MONTH(TODAY())&gt;'Control 11'!$S$9),"Retrasado","A Tiempo"))</f>
        <v>A Tiempo</v>
      </c>
      <c r="AA20" s="76" t="str">
        <f>IF('Control 11'!$D$12="","",'Control 11'!$D$12)</f>
        <v>Melhor Prática</v>
      </c>
      <c r="AB20" s="77">
        <f t="shared" si="2"/>
        <v>1.4999999999999999E-2</v>
      </c>
      <c r="AC20" s="78">
        <f t="shared" si="4"/>
        <v>1.1764705882352942</v>
      </c>
      <c r="AD20" s="103">
        <f>'Control 11'!$F$12</f>
        <v>3</v>
      </c>
      <c r="AE20" s="103">
        <f>'Control 11'!$G$12</f>
        <v>3</v>
      </c>
      <c r="AF20" s="103">
        <f>'Control 11'!$H$12</f>
        <v>3</v>
      </c>
      <c r="AG20" s="103">
        <f>'Control 11'!$I$12</f>
        <v>3</v>
      </c>
    </row>
    <row r="21" spans="2:33" ht="45.75" customHeight="1" x14ac:dyDescent="0.25">
      <c r="B21" s="115" t="s">
        <v>102</v>
      </c>
      <c r="C21" s="100" t="s">
        <v>106</v>
      </c>
      <c r="D21" s="71" t="s">
        <v>139</v>
      </c>
      <c r="E21" s="74">
        <v>1.4999999999999999E-2</v>
      </c>
      <c r="F21" s="76" t="str">
        <f>'Control 12'!$D$7</f>
        <v>Não cumpre</v>
      </c>
      <c r="G21" s="88">
        <f t="shared" si="0"/>
        <v>0</v>
      </c>
      <c r="H21" s="103">
        <f>'Control 12'!$F$7</f>
        <v>1</v>
      </c>
      <c r="I21" s="103">
        <f>'Control 12'!$G$7</f>
        <v>1</v>
      </c>
      <c r="J21" s="103" t="str">
        <f>'Control 12'!$H$7</f>
        <v/>
      </c>
      <c r="K21" s="103" t="str">
        <f>'Control 12'!$I$7</f>
        <v/>
      </c>
      <c r="L21" s="76" t="str">
        <f>IF('Control 12'!$D$10="","",'Control 12'!$D$10)</f>
        <v>Cumpre</v>
      </c>
      <c r="M21" s="77">
        <f t="shared" si="1"/>
        <v>1.0499999999999999E-2</v>
      </c>
      <c r="N21" s="78">
        <f t="shared" si="3"/>
        <v>0</v>
      </c>
      <c r="O21" s="103" t="str">
        <f>'Control 12'!$F$10</f>
        <v>D</v>
      </c>
      <c r="P21" s="103" t="str">
        <f>'Control 12'!$G$10</f>
        <v>-</v>
      </c>
      <c r="Q21" s="103" t="str">
        <f>'Control 12'!$H$10</f>
        <v>-</v>
      </c>
      <c r="R21" s="103" t="str">
        <f>'Control 12'!$I$10</f>
        <v>-</v>
      </c>
      <c r="S21" s="118">
        <f>IF('Control 12'!$M$10="","",'Control 12'!$M$10)</f>
        <v>2</v>
      </c>
      <c r="T21" s="104" t="str">
        <f>IF('Control 12'!$O$10="","",'Control 12'!$O$10)</f>
        <v>Alta</v>
      </c>
      <c r="U21" s="95">
        <f>IF('Control 12'!$Q$9&lt;=Estratégia!$U$6,0.5,0)+IF('Control 12'!$S$9&gt;=Control!$U$6,0.5,0)</f>
        <v>0.5</v>
      </c>
      <c r="V21" s="94">
        <f>IF('Control 12'!$Q$9&lt;=Estratégia!$V$6,0.5,0)+IF('Control 12'!$S$9&gt;=Estratégia!$V$6,0.5,0)</f>
        <v>0.5</v>
      </c>
      <c r="W21" s="94">
        <f>IF('Control 12'!$Q$9&lt;=Estratégia!$W$6,0.5,0)+IF('Control 12'!$S$9&gt;=Estratégia!$W$6,0.5,0)</f>
        <v>0.5</v>
      </c>
      <c r="X21" s="94">
        <f>IF('Control 12'!$Q$9&lt;=Estratégia!$X$6,0.5,0)+IF('Control 12'!$S$9&gt;=Estratégia!$X$6,0.5,0)</f>
        <v>0.5</v>
      </c>
      <c r="Y21" s="94">
        <f>IF('Control 12'!$Q$9&lt;=Estratégia!$Y$6,0.5,0)+IF('Control 12'!$S$9&gt;=Estratégia!$Y$6,0.5,0)</f>
        <v>0.5</v>
      </c>
      <c r="Z21" s="79" t="str">
        <f ca="1">IF(OR(AA21&lt;&gt;"",'Control 12'!$D$15="No Planificado"),'Control 12'!$D$15,IF(AND(AA21="",MONTH(TODAY())&gt;'Control 12'!$S$9),"Retrasado","A Tiempo"))</f>
        <v>Retrasado</v>
      </c>
      <c r="AA21" s="76" t="str">
        <f>IF('Control 12'!$D$12="","",'Control 12'!$D$12)</f>
        <v>Cumpre</v>
      </c>
      <c r="AB21" s="77">
        <f t="shared" si="2"/>
        <v>1.0499999999999999E-2</v>
      </c>
      <c r="AC21" s="78">
        <f t="shared" si="4"/>
        <v>1</v>
      </c>
      <c r="AD21" s="103">
        <f>'Control 12'!$F$12</f>
        <v>3</v>
      </c>
      <c r="AE21" s="103">
        <f>'Control 12'!$G$12</f>
        <v>3</v>
      </c>
      <c r="AF21" s="103" t="str">
        <f>'Control 12'!$H$12</f>
        <v/>
      </c>
      <c r="AG21" s="103" t="str">
        <f>'Control 12'!$I$12</f>
        <v/>
      </c>
    </row>
    <row r="22" spans="2:33" ht="45.75" customHeight="1" x14ac:dyDescent="0.25">
      <c r="B22" s="115" t="s">
        <v>39</v>
      </c>
      <c r="C22" s="100" t="s">
        <v>108</v>
      </c>
      <c r="D22" s="71" t="s">
        <v>140</v>
      </c>
      <c r="E22" s="72">
        <v>5.0000000000000001E-3</v>
      </c>
      <c r="F22" s="76" t="str">
        <f>'Control 13'!$D$7</f>
        <v>Não cumpre</v>
      </c>
      <c r="G22" s="88">
        <f t="shared" si="0"/>
        <v>0</v>
      </c>
      <c r="H22" s="103">
        <f>'Control 13'!$F$7</f>
        <v>1</v>
      </c>
      <c r="I22" s="103" t="str">
        <f>'Control 13'!$G$7</f>
        <v/>
      </c>
      <c r="J22" s="103" t="str">
        <f>'Control 13'!$H$7</f>
        <v/>
      </c>
      <c r="K22" s="103" t="str">
        <f>'Control 13'!$I$7</f>
        <v/>
      </c>
      <c r="L22" s="76" t="str">
        <f>IF('Control 13'!$D$10="","",'Control 13'!$D$10)</f>
        <v>Cumpre</v>
      </c>
      <c r="M22" s="77">
        <f t="shared" si="1"/>
        <v>3.4999999999999996E-3</v>
      </c>
      <c r="N22" s="78">
        <f t="shared" si="3"/>
        <v>0</v>
      </c>
      <c r="O22" s="103" t="str">
        <f>'Control 13'!$F$10</f>
        <v>-</v>
      </c>
      <c r="P22" s="103" t="str">
        <f>'Control 13'!$G$10</f>
        <v>-</v>
      </c>
      <c r="Q22" s="103" t="str">
        <f>'Control 13'!$H$10</f>
        <v>-</v>
      </c>
      <c r="R22" s="103" t="str">
        <f>'Control 13'!$I$10</f>
        <v>-</v>
      </c>
      <c r="S22" s="118">
        <f>IF('Control 13'!$M$10="","",'Control 13'!$M$10)</f>
        <v>2</v>
      </c>
      <c r="T22" s="104" t="str">
        <f>IF('Control 13'!$O$10="","",'Control 13'!$O$10)</f>
        <v>Alta</v>
      </c>
      <c r="U22" s="95">
        <f>IF('Control 13'!$Q$9&lt;=Estratégia!$U$6,0.5,0)+IF('Control 13'!$S$9&gt;=Control!$U$6,0.5,0)</f>
        <v>0.5</v>
      </c>
      <c r="V22" s="94">
        <f>IF('Control 13'!$Q$9&lt;=Estratégia!$V$6,0.5,0)+IF('Control 13'!$S$9&gt;=Estratégia!$V$6,0.5,0)</f>
        <v>0.5</v>
      </c>
      <c r="W22" s="94">
        <f>IF('Control 13'!$Q$9&lt;=Estratégia!$W$6,0.5,0)+IF('Control 13'!$S$9&gt;=Estratégia!$W$6,0.5,0)</f>
        <v>1</v>
      </c>
      <c r="X22" s="94">
        <f>IF('Control 13'!$Q$9&lt;=Estratégia!$X$6,0.5,0)+IF('Control 13'!$S$9&gt;=Estratégia!$X$6,0.5,0)</f>
        <v>1</v>
      </c>
      <c r="Y22" s="94">
        <f>IF('Control 13'!$Q$9&lt;=Estratégia!$Y$6,0.5,0)+IF('Control 13'!$S$9&gt;=Estratégia!$Y$6,0.5,0)</f>
        <v>1</v>
      </c>
      <c r="Z22" s="79" t="str">
        <f ca="1">IF(OR(AA22&lt;&gt;"",'Control 13'!$D$15="No Planificado"),'Control 13'!$D$15,IF(AND(AA22="",MONTH(TODAY())&gt;'Control 13'!$S$9),"Retrasado","A Tiempo"))</f>
        <v>Retrasado</v>
      </c>
      <c r="AA22" s="76" t="str">
        <f>IF('Control 13'!$D$12="","",'Control 13'!$D$12)</f>
        <v>Melhor Prática</v>
      </c>
      <c r="AB22" s="77">
        <f t="shared" si="2"/>
        <v>5.0000000000000001E-3</v>
      </c>
      <c r="AC22" s="78">
        <f t="shared" si="4"/>
        <v>1.4285714285714288</v>
      </c>
      <c r="AD22" s="103">
        <f>'Control 13'!$F$12</f>
        <v>3</v>
      </c>
      <c r="AE22" s="103">
        <f>'Control 13'!$G$12</f>
        <v>3</v>
      </c>
      <c r="AF22" s="103">
        <f>'Control 13'!$H$12</f>
        <v>3</v>
      </c>
      <c r="AG22" s="103">
        <f>'Control 13'!$I$12</f>
        <v>3</v>
      </c>
    </row>
    <row r="23" spans="2:33" x14ac:dyDescent="0.25"/>
    <row r="24" spans="2:33" ht="11.25" customHeight="1" x14ac:dyDescent="0.25">
      <c r="B24" s="82"/>
      <c r="C24" s="246" t="s">
        <v>10</v>
      </c>
      <c r="D24" s="246"/>
      <c r="E24" s="247">
        <f>SUM(E10:E22)</f>
        <v>0.2</v>
      </c>
      <c r="F24" s="293"/>
      <c r="G24" s="250">
        <f>SUM(G10:G22)</f>
        <v>3.3499999999999995E-2</v>
      </c>
      <c r="H24" s="89"/>
      <c r="I24" s="89"/>
      <c r="J24" s="89"/>
      <c r="K24" s="89"/>
      <c r="L24" s="83"/>
      <c r="M24" s="252">
        <f>SUM(M10:M22)</f>
        <v>0.17150000000000001</v>
      </c>
      <c r="N24" s="254">
        <f>IFERROR(G24/M24,"")</f>
        <v>0.19533527696792999</v>
      </c>
      <c r="O24" s="90"/>
      <c r="P24" s="90"/>
      <c r="Q24" s="90"/>
      <c r="R24" s="90"/>
      <c r="S24" s="90"/>
      <c r="T24" s="90"/>
      <c r="U24" s="90"/>
      <c r="V24" s="90"/>
      <c r="W24" s="90"/>
      <c r="X24" s="90"/>
      <c r="Y24" s="90"/>
      <c r="Z24" s="84"/>
      <c r="AA24" s="85"/>
      <c r="AB24" s="256">
        <f>SUM(AB10:AB22)</f>
        <v>0.1555</v>
      </c>
      <c r="AC24" s="258">
        <f>IFERROR(M24/AB24,"")</f>
        <v>1.1028938906752412</v>
      </c>
      <c r="AD24" s="245"/>
      <c r="AE24" s="245"/>
      <c r="AF24" s="245"/>
      <c r="AG24" s="245"/>
    </row>
    <row r="25" spans="2:33" ht="24" x14ac:dyDescent="0.25">
      <c r="B25" s="82"/>
      <c r="C25" s="246"/>
      <c r="D25" s="246"/>
      <c r="E25" s="247"/>
      <c r="F25" s="294"/>
      <c r="G25" s="251"/>
      <c r="H25" s="89"/>
      <c r="I25" s="89"/>
      <c r="J25" s="89"/>
      <c r="K25" s="89"/>
      <c r="L25" s="86"/>
      <c r="M25" s="253"/>
      <c r="N25" s="255"/>
      <c r="O25" s="90"/>
      <c r="P25" s="90"/>
      <c r="Q25" s="90"/>
      <c r="R25" s="90"/>
      <c r="S25" s="90"/>
      <c r="T25" s="90"/>
      <c r="U25" s="90"/>
      <c r="V25" s="90"/>
      <c r="W25" s="90"/>
      <c r="X25" s="90"/>
      <c r="Y25" s="90"/>
      <c r="Z25" s="84"/>
      <c r="AA25" s="85"/>
      <c r="AB25" s="256"/>
      <c r="AC25" s="258"/>
      <c r="AD25" s="245"/>
      <c r="AE25" s="245"/>
      <c r="AF25" s="245"/>
      <c r="AG25" s="245"/>
    </row>
    <row r="26" spans="2:33" x14ac:dyDescent="0.25"/>
    <row r="27" spans="2:33" ht="15" customHeight="1" x14ac:dyDescent="0.25"/>
    <row r="28" spans="2:33" ht="15" customHeight="1" x14ac:dyDescent="0.25"/>
    <row r="29" spans="2:33" ht="15" customHeight="1" x14ac:dyDescent="0.25"/>
  </sheetData>
  <autoFilter ref="B9:AG9" xr:uid="{F3416D7B-8507-4AF1-AC12-A67AE73E163C}"/>
  <dataConsolidate/>
  <mergeCells count="49">
    <mergeCell ref="F3:AE3"/>
    <mergeCell ref="B5:D5"/>
    <mergeCell ref="F5:J5"/>
    <mergeCell ref="L5:M5"/>
    <mergeCell ref="Z5:AA5"/>
    <mergeCell ref="M7:M8"/>
    <mergeCell ref="N7:N8"/>
    <mergeCell ref="O7:O8"/>
    <mergeCell ref="P7:P8"/>
    <mergeCell ref="Q7:Q8"/>
    <mergeCell ref="AF7:AF8"/>
    <mergeCell ref="AG7:AG8"/>
    <mergeCell ref="AC7:AC8"/>
    <mergeCell ref="AD7:AD8"/>
    <mergeCell ref="R7:R8"/>
    <mergeCell ref="W7:W8"/>
    <mergeCell ref="X7:X8"/>
    <mergeCell ref="AE7:AE8"/>
    <mergeCell ref="Y7:Y8"/>
    <mergeCell ref="Z7:Z8"/>
    <mergeCell ref="AA7:AA8"/>
    <mergeCell ref="AB7:AB8"/>
    <mergeCell ref="S7:S8"/>
    <mergeCell ref="T7:T8"/>
    <mergeCell ref="U7:U8"/>
    <mergeCell ref="V7:V8"/>
    <mergeCell ref="L7:L8"/>
    <mergeCell ref="B7:B8"/>
    <mergeCell ref="C7:C8"/>
    <mergeCell ref="D7:D8"/>
    <mergeCell ref="C24:D25"/>
    <mergeCell ref="E24:E25"/>
    <mergeCell ref="F24:F25"/>
    <mergeCell ref="G24:G25"/>
    <mergeCell ref="G7:G8"/>
    <mergeCell ref="H7:H8"/>
    <mergeCell ref="I7:I8"/>
    <mergeCell ref="J7:J8"/>
    <mergeCell ref="K7:K8"/>
    <mergeCell ref="E7:E8"/>
    <mergeCell ref="F7:F8"/>
    <mergeCell ref="M24:M25"/>
    <mergeCell ref="AG24:AG25"/>
    <mergeCell ref="N24:N25"/>
    <mergeCell ref="AB24:AB25"/>
    <mergeCell ref="AC24:AC25"/>
    <mergeCell ref="AD24:AD25"/>
    <mergeCell ref="AE24:AE25"/>
    <mergeCell ref="AF24:AF25"/>
  </mergeCells>
  <conditionalFormatting sqref="H10:K22">
    <cfRule type="iconSet" priority="7">
      <iconSet showValue="0">
        <cfvo type="percent" val="0"/>
        <cfvo type="num" val="2"/>
        <cfvo type="num" val="3"/>
      </iconSet>
    </cfRule>
  </conditionalFormatting>
  <conditionalFormatting sqref="N10:N22">
    <cfRule type="dataBar" priority="9">
      <dataBar showValue="0">
        <cfvo type="min"/>
        <cfvo type="max"/>
        <color rgb="FF63C384"/>
      </dataBar>
      <extLst>
        <ext xmlns:x14="http://schemas.microsoft.com/office/spreadsheetml/2009/9/main" uri="{B025F937-C7B1-47D3-B67F-A62EFF666E3E}">
          <x14:id>{B8C431F4-012B-4BDE-A5E2-F6AEAF160BAF}</x14:id>
        </ext>
      </extLst>
    </cfRule>
  </conditionalFormatting>
  <conditionalFormatting sqref="O10:R22">
    <cfRule type="iconSet" priority="5">
      <iconSet showValue="0">
        <cfvo type="percent" val="0"/>
        <cfvo type="num" val="2"/>
        <cfvo type="num" val="3"/>
      </iconSet>
    </cfRule>
  </conditionalFormatting>
  <conditionalFormatting sqref="U10:Y22">
    <cfRule type="cellIs" dxfId="1035" priority="2" operator="equal">
      <formula>2</formula>
    </cfRule>
    <cfRule type="cellIs" dxfId="1034" priority="3" operator="equal">
      <formula>1</formula>
    </cfRule>
    <cfRule type="cellIs" dxfId="1033" priority="4" operator="equal">
      <formula>0</formula>
    </cfRule>
  </conditionalFormatting>
  <conditionalFormatting sqref="AC10:AC22">
    <cfRule type="dataBar" priority="8">
      <dataBar showValue="0">
        <cfvo type="min"/>
        <cfvo type="max"/>
        <color theme="6" tint="0.39997558519241921"/>
      </dataBar>
      <extLst>
        <ext xmlns:x14="http://schemas.microsoft.com/office/spreadsheetml/2009/9/main" uri="{B025F937-C7B1-47D3-B67F-A62EFF666E3E}">
          <x14:id>{25F2A45E-E4C7-4DC2-90E1-A6211CF4353C}</x14:id>
        </ext>
      </extLst>
    </cfRule>
  </conditionalFormatting>
  <conditionalFormatting sqref="AD10:AG22">
    <cfRule type="iconSet" priority="6">
      <iconSet showValue="0">
        <cfvo type="percent" val="0"/>
        <cfvo type="num" val="2"/>
        <cfvo type="num" val="3"/>
      </iconSet>
    </cfRule>
  </conditionalFormatting>
  <hyperlinks>
    <hyperlink ref="C10" location="'Control 1'!A1" display="1." xr:uid="{4667A8A1-DE2D-417B-BA82-3BBF5F1A38B0}"/>
    <hyperlink ref="D10" location="'Control 1'!A1" display="Control de movimientos y stock de EDF" xr:uid="{03201C58-28CE-413E-83E0-8D94AADBCDF8}"/>
    <hyperlink ref="C11" location="'Control 2'!A1" display="2." xr:uid="{19459829-922C-4308-B54B-F3DA9E1AC961}"/>
    <hyperlink ref="D11" location="'Control 2'!A1" display="Política de almacenamiento" xr:uid="{BC92D9C9-A18B-4AC9-B237-B24232062653}"/>
    <hyperlink ref="C12" location="'Control 3'!A1" display="3." xr:uid="{DF8843BA-F658-45CE-A3D7-ACC1A8D4C13B}"/>
    <hyperlink ref="D12" location="'Control 3'!A1" display="Programa de calidad" xr:uid="{7B1F2B00-DAD8-4997-9DD5-FF4DF5AFD044}"/>
    <hyperlink ref="C13" location="'Estrategia 4'!A1" display="4." xr:uid="{A3D36CEA-E03C-4325-A7FA-0D67358F7E75}"/>
    <hyperlink ref="D13" location="'Control 4'!A1" display="Transporte del equipo" xr:uid="{DBAF5AEC-A5CA-42B5-95A8-F604EB12928C}"/>
    <hyperlink ref="C14" location="'Control 5'!A1" display="5." xr:uid="{80C7946A-2B1D-4B65-9B86-DFBD525F4294}"/>
    <hyperlink ref="D14" location="'Control 5'!A1" display="Optimización de equipos en bodega" xr:uid="{C8B2D336-5653-4AF2-B016-38E41D9D5260}"/>
    <hyperlink ref="C15" location="'Control 6'!A1" display="6." xr:uid="{3D0CB66E-DACA-474E-86BA-B84D652C7946}"/>
    <hyperlink ref="D15" location="'Control 6'!A1" display="Prevención de movimientos irregulares" xr:uid="{832C3100-7A1E-4FB9-9D60-FB12CF2F65DE}"/>
    <hyperlink ref="C16" location="'Control 7'!A1" display="7." xr:uid="{C4D995A9-70CC-41AB-93BE-EF5004F44A54}"/>
    <hyperlink ref="D16" location="'Control 7'!A1" display="Refuerzo de los términos contractuales acordados" xr:uid="{55D88929-1755-4B4E-93E9-F098F9F71787}"/>
    <hyperlink ref="C17" location="'Control 8'!A1" display="8." xr:uid="{DD2FA8E8-5126-4A83-AD07-742EDD81DFA2}"/>
    <hyperlink ref="D17" location="'Control 8'!A1" display="Monitoreo de equipo con venta cero" xr:uid="{9171DE7D-F1CE-4444-AB10-9E449D5D0FF9}"/>
    <hyperlink ref="C18" location="'Control 9'!A1" display="9." xr:uid="{D9F55D40-7042-41D4-BC47-8A74E827D9C0}"/>
    <hyperlink ref="D18" location="'Control 9'!A1" display="Validación de equipos en el mercado" xr:uid="{0880A8FA-6427-4EA3-8977-A5C191813C1A}"/>
    <hyperlink ref="C19" location="'Control 10'!A1" display="10." xr:uid="{C4A218CA-2110-4267-8B91-9854553F42F4}"/>
    <hyperlink ref="D19" location="'Control 10'!A1" display="Censo de equipos" xr:uid="{549C9026-41F3-4696-AB6B-C64C22CC9BFD}"/>
    <hyperlink ref="C20" location="'Control 11'!A1" display="11." xr:uid="{30814D1D-5B85-48D1-AD53-545D7AED230A}"/>
    <hyperlink ref="D20" location="'Control 11'!A1" display="Gestión de recupero legal" xr:uid="{43288C4F-085A-4EFA-B2B8-E8647E762AB2}"/>
    <hyperlink ref="C21" location="'Control 12'!A1" display="12." xr:uid="{A351AB47-509E-4B87-B0D2-A9C22C922542}"/>
    <hyperlink ref="D21" location="'Control 12'!A1" display="Conectividad para control" xr:uid="{5AD7F7CB-A333-4758-93D6-E2A4ED235DF1}"/>
    <hyperlink ref="C22" location="'Control 13'!A1" display="13." xr:uid="{08B20068-0E32-4727-B41A-7E70FB2179E4}"/>
    <hyperlink ref="D22" location="'Control 13'!A1" display="Política de control de equipos" xr:uid="{B2C0F648-3DB5-441B-9DF3-2E5EC4D4EAF7}"/>
  </hyperlinks>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dataBar" id="{B8C431F4-012B-4BDE-A5E2-F6AEAF160BAF}">
            <x14:dataBar minLength="0" maxLength="100">
              <x14:cfvo type="autoMin"/>
              <x14:cfvo type="autoMax"/>
              <x14:negativeFillColor rgb="FFFF0000"/>
              <x14:axisColor rgb="FF000000"/>
            </x14:dataBar>
          </x14:cfRule>
          <xm:sqref>N10:N22</xm:sqref>
        </x14:conditionalFormatting>
        <x14:conditionalFormatting xmlns:xm="http://schemas.microsoft.com/office/excel/2006/main">
          <x14:cfRule type="iconSet" priority="1" id="{202B30B8-F361-4314-926C-CB4FAC4F58E7}">
            <x14:iconSet iconSet="3Stars" showValue="0">
              <x14:cfvo type="percent">
                <xm:f>0</xm:f>
              </x14:cfvo>
              <x14:cfvo type="num">
                <xm:f>2</xm:f>
              </x14:cfvo>
              <x14:cfvo type="num">
                <xm:f>3</xm:f>
              </x14:cfvo>
            </x14:iconSet>
          </x14:cfRule>
          <xm:sqref>S10:S22</xm:sqref>
        </x14:conditionalFormatting>
        <x14:conditionalFormatting xmlns:xm="http://schemas.microsoft.com/office/excel/2006/main">
          <x14:cfRule type="dataBar" id="{25F2A45E-E4C7-4DC2-90E1-A6211CF4353C}">
            <x14:dataBar minLength="0" maxLength="100">
              <x14:cfvo type="autoMin"/>
              <x14:cfvo type="autoMax"/>
              <x14:negativeFillColor rgb="FFFF0000"/>
              <x14:axisColor rgb="FF000000"/>
            </x14:dataBar>
          </x14:cfRule>
          <xm:sqref>AC10:AC22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2EFE-51F9-40AD-BE7D-6B5092AFF832}">
  <sheetPr codeName="Planilha5"/>
  <dimension ref="A1:AM31"/>
  <sheetViews>
    <sheetView showGridLines="0" zoomScale="40" zoomScaleNormal="40" workbookViewId="0">
      <pane xSplit="5" ySplit="9" topLeftCell="F13" activePane="bottomRight" state="frozen"/>
      <selection activeCell="C16" sqref="C16"/>
      <selection pane="topRight" activeCell="C16" sqref="C16"/>
      <selection pane="bottomLeft" activeCell="C16" sqref="C16"/>
      <selection pane="bottomRight" activeCell="D22" sqref="D22"/>
    </sheetView>
  </sheetViews>
  <sheetFormatPr defaultColWidth="0" defaultRowHeight="15" customHeight="1" zeroHeight="1" outlineLevelCol="1" x14ac:dyDescent="0.25"/>
  <cols>
    <col min="1" max="1" width="2.140625" customWidth="1"/>
    <col min="2" max="2" width="18.85546875" customWidth="1"/>
    <col min="3" max="3" width="8.140625" customWidth="1"/>
    <col min="4" max="4" width="43.5703125" customWidth="1"/>
    <col min="5" max="5" width="9.42578125" customWidth="1"/>
    <col min="6" max="6" width="20.42578125" customWidth="1"/>
    <col min="7" max="7" width="11.140625" customWidth="1"/>
    <col min="8" max="11" width="5.85546875" customWidth="1" outlineLevel="1"/>
    <col min="12" max="12" width="20.5703125" customWidth="1"/>
    <col min="13" max="13" width="11.5703125" customWidth="1"/>
    <col min="14" max="14" width="10.85546875" customWidth="1"/>
    <col min="15" max="18" width="5.85546875" customWidth="1" outlineLevel="1"/>
    <col min="19" max="19" width="12.42578125" customWidth="1" outlineLevel="1"/>
    <col min="20" max="20" width="16.85546875" customWidth="1" outlineLevel="1"/>
    <col min="21" max="21" width="6.140625" bestFit="1" customWidth="1" outlineLevel="1"/>
    <col min="22" max="25" width="6.7109375" customWidth="1" outlineLevel="1"/>
    <col min="26" max="26" width="19.42578125" customWidth="1"/>
    <col min="27" max="27" width="19.140625" customWidth="1"/>
    <col min="28" max="28" width="12.140625" customWidth="1"/>
    <col min="29" max="29" width="11.5703125" customWidth="1"/>
    <col min="30" max="33" width="5.85546875" customWidth="1" outlineLevel="1"/>
    <col min="34" max="34" width="9.140625" customWidth="1"/>
    <col min="35" max="39" width="0" hidden="1" customWidth="1"/>
    <col min="40" max="16384" width="9.140625" hidden="1"/>
  </cols>
  <sheetData>
    <row r="1" spans="1:33"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33" ht="43.5" x14ac:dyDescent="0.35">
      <c r="B2" s="11"/>
      <c r="C2" s="11"/>
      <c r="D2" s="80" t="s">
        <v>0</v>
      </c>
      <c r="E2" s="80"/>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3" ht="43.5" x14ac:dyDescent="0.25">
      <c r="B3" s="10"/>
      <c r="C3" s="10"/>
      <c r="D3" s="81" t="s">
        <v>1</v>
      </c>
      <c r="E3" s="81"/>
      <c r="F3" s="296" t="s">
        <v>20</v>
      </c>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row>
    <row r="4" spans="1:33" ht="7.5" customHeight="1" x14ac:dyDescent="0.25"/>
    <row r="5" spans="1:33" ht="19.5" customHeight="1" x14ac:dyDescent="0.25">
      <c r="B5" s="237" t="s">
        <v>45</v>
      </c>
      <c r="C5" s="237"/>
      <c r="D5" s="237"/>
      <c r="F5" s="237" t="s">
        <v>46</v>
      </c>
      <c r="G5" s="237"/>
      <c r="H5" s="237"/>
      <c r="I5" s="237"/>
      <c r="J5" s="237"/>
      <c r="L5" s="237" t="s">
        <v>26</v>
      </c>
      <c r="M5" s="237"/>
      <c r="N5" s="64"/>
      <c r="O5" s="64"/>
      <c r="P5" s="64"/>
      <c r="Q5" s="64"/>
      <c r="R5" s="64"/>
      <c r="Z5" s="237" t="s">
        <v>47</v>
      </c>
      <c r="AA5" s="237"/>
      <c r="AB5" s="64"/>
      <c r="AC5" s="64"/>
      <c r="AD5" s="64"/>
      <c r="AE5" s="64"/>
      <c r="AF5" s="64"/>
    </row>
    <row r="6" spans="1:33" ht="11.25" customHeight="1" x14ac:dyDescent="0.25">
      <c r="U6" s="91">
        <v>6</v>
      </c>
      <c r="V6" s="91">
        <v>7</v>
      </c>
      <c r="W6" s="91">
        <v>8</v>
      </c>
      <c r="X6" s="91">
        <v>9</v>
      </c>
      <c r="Y6" s="91">
        <v>10</v>
      </c>
    </row>
    <row r="7" spans="1:33" ht="22.5" customHeight="1" x14ac:dyDescent="0.25">
      <c r="B7" s="239" t="s">
        <v>50</v>
      </c>
      <c r="C7" s="239" t="s">
        <v>51</v>
      </c>
      <c r="D7" s="239" t="s">
        <v>52</v>
      </c>
      <c r="E7" s="239" t="s">
        <v>53</v>
      </c>
      <c r="F7" s="240" t="s">
        <v>54</v>
      </c>
      <c r="G7" s="240" t="s">
        <v>55</v>
      </c>
      <c r="H7" s="241" t="s">
        <v>56</v>
      </c>
      <c r="I7" s="241" t="s">
        <v>57</v>
      </c>
      <c r="J7" s="241" t="s">
        <v>58</v>
      </c>
      <c r="K7" s="241" t="s">
        <v>59</v>
      </c>
      <c r="L7" s="238" t="s">
        <v>60</v>
      </c>
      <c r="M7" s="238" t="s">
        <v>61</v>
      </c>
      <c r="N7" s="238" t="s">
        <v>62</v>
      </c>
      <c r="O7" s="243" t="s">
        <v>56</v>
      </c>
      <c r="P7" s="243" t="s">
        <v>57</v>
      </c>
      <c r="Q7" s="243" t="s">
        <v>58</v>
      </c>
      <c r="R7" s="243" t="s">
        <v>59</v>
      </c>
      <c r="S7" s="244" t="s">
        <v>63</v>
      </c>
      <c r="T7" s="244" t="s">
        <v>64</v>
      </c>
      <c r="U7" s="242" t="s">
        <v>65</v>
      </c>
      <c r="V7" s="242" t="s">
        <v>66</v>
      </c>
      <c r="W7" s="242" t="s">
        <v>67</v>
      </c>
      <c r="X7" s="242" t="s">
        <v>68</v>
      </c>
      <c r="Y7" s="242" t="s">
        <v>69</v>
      </c>
      <c r="Z7" s="257" t="s">
        <v>70</v>
      </c>
      <c r="AA7" s="257" t="s">
        <v>71</v>
      </c>
      <c r="AB7" s="257" t="s">
        <v>72</v>
      </c>
      <c r="AC7" s="257" t="s">
        <v>73</v>
      </c>
      <c r="AD7" s="245" t="s">
        <v>56</v>
      </c>
      <c r="AE7" s="245" t="s">
        <v>57</v>
      </c>
      <c r="AF7" s="245" t="s">
        <v>58</v>
      </c>
      <c r="AG7" s="245" t="s">
        <v>59</v>
      </c>
    </row>
    <row r="8" spans="1:33" ht="15" customHeight="1" x14ac:dyDescent="0.25">
      <c r="B8" s="239"/>
      <c r="C8" s="239"/>
      <c r="D8" s="239"/>
      <c r="E8" s="239"/>
      <c r="F8" s="240"/>
      <c r="G8" s="240"/>
      <c r="H8" s="241"/>
      <c r="I8" s="241"/>
      <c r="J8" s="241"/>
      <c r="K8" s="241"/>
      <c r="L8" s="238"/>
      <c r="M8" s="238"/>
      <c r="N8" s="238"/>
      <c r="O8" s="243"/>
      <c r="P8" s="243"/>
      <c r="Q8" s="243"/>
      <c r="R8" s="243"/>
      <c r="S8" s="244"/>
      <c r="T8" s="244"/>
      <c r="U8" s="242"/>
      <c r="V8" s="242"/>
      <c r="W8" s="242"/>
      <c r="X8" s="242"/>
      <c r="Y8" s="242"/>
      <c r="Z8" s="257"/>
      <c r="AA8" s="257"/>
      <c r="AB8" s="257"/>
      <c r="AC8" s="257"/>
      <c r="AD8" s="245"/>
      <c r="AE8" s="245"/>
      <c r="AF8" s="245"/>
      <c r="AG8" s="245"/>
    </row>
    <row r="9" spans="1:33" ht="15" customHeight="1" x14ac:dyDescent="0.25">
      <c r="B9" s="119" t="s">
        <v>74</v>
      </c>
      <c r="C9" s="119" t="s">
        <v>51</v>
      </c>
      <c r="D9" s="119" t="s">
        <v>52</v>
      </c>
      <c r="E9" s="119" t="s">
        <v>53</v>
      </c>
      <c r="F9" s="120" t="s">
        <v>54</v>
      </c>
      <c r="G9" s="120" t="s">
        <v>75</v>
      </c>
      <c r="H9" s="121" t="s">
        <v>56</v>
      </c>
      <c r="I9" s="121" t="s">
        <v>57</v>
      </c>
      <c r="J9" s="121" t="s">
        <v>58</v>
      </c>
      <c r="K9" s="121" t="s">
        <v>59</v>
      </c>
      <c r="L9" s="122" t="s">
        <v>60</v>
      </c>
      <c r="M9" s="122" t="s">
        <v>76</v>
      </c>
      <c r="N9" s="122" t="s">
        <v>77</v>
      </c>
      <c r="O9" s="137" t="s">
        <v>56</v>
      </c>
      <c r="P9" s="137" t="s">
        <v>57</v>
      </c>
      <c r="Q9" s="137" t="s">
        <v>58</v>
      </c>
      <c r="R9" s="137" t="s">
        <v>59</v>
      </c>
      <c r="S9" s="138" t="s">
        <v>63</v>
      </c>
      <c r="T9" s="138" t="s">
        <v>64</v>
      </c>
      <c r="U9" s="139" t="s">
        <v>65</v>
      </c>
      <c r="V9" s="139" t="s">
        <v>66</v>
      </c>
      <c r="W9" s="139" t="s">
        <v>67</v>
      </c>
      <c r="X9" s="139" t="s">
        <v>68</v>
      </c>
      <c r="Y9" s="139" t="s">
        <v>69</v>
      </c>
      <c r="Z9" s="123" t="s">
        <v>70</v>
      </c>
      <c r="AA9" s="123" t="s">
        <v>71</v>
      </c>
      <c r="AB9" s="123" t="s">
        <v>72</v>
      </c>
      <c r="AC9" s="123" t="s">
        <v>73</v>
      </c>
      <c r="AD9" s="124" t="s">
        <v>56</v>
      </c>
      <c r="AE9" s="124" t="s">
        <v>57</v>
      </c>
      <c r="AF9" s="124" t="s">
        <v>58</v>
      </c>
      <c r="AG9" s="124" t="s">
        <v>59</v>
      </c>
    </row>
    <row r="10" spans="1:33" ht="47.25" customHeight="1" x14ac:dyDescent="0.25">
      <c r="B10" s="115" t="s">
        <v>124</v>
      </c>
      <c r="C10" s="160" t="s">
        <v>79</v>
      </c>
      <c r="D10" s="160" t="s">
        <v>141</v>
      </c>
      <c r="E10" s="72">
        <v>0.02</v>
      </c>
      <c r="F10" s="76" t="str">
        <f>'Mercado 1'!$D$7</f>
        <v>Parcial</v>
      </c>
      <c r="G10" s="88">
        <f t="shared" ref="G10:G24" si="0">IF($F10="Não cumpre",0,IF($F10="Parcial",$E10*0.4,IF($F10="Cumpre",$E10*0.7,IF($F10="Mais que cumpre",$E10*0.85,IF($F10="Melhor Prática",E10,0)))))</f>
        <v>8.0000000000000002E-3</v>
      </c>
      <c r="H10" s="103">
        <f>'Mercado 1'!$F$7</f>
        <v>3</v>
      </c>
      <c r="I10" s="103">
        <f>'Mercado 1'!$G$7</f>
        <v>1</v>
      </c>
      <c r="J10" s="103">
        <f>'Mercado 1'!$H$7</f>
        <v>3</v>
      </c>
      <c r="K10" s="103" t="str">
        <f>'Mercado 1'!$I$7</f>
        <v/>
      </c>
      <c r="L10" s="76" t="str">
        <f>IF('Mercado 1'!$D$10="","",'Mercado 1'!$D$10)</f>
        <v>Mais que Cumpre</v>
      </c>
      <c r="M10" s="77">
        <f t="shared" ref="M10:M24" si="1">IF($L10="Não cumpre",0,IF($L10="Parcial",$E10*0.4,IF($L10="Cumpre",$E10*0.7,IF($L10="Mais que cumpre",$E10*0.85,IF($L10="Melhor Prática",E10,0)))))</f>
        <v>1.7000000000000001E-2</v>
      </c>
      <c r="N10" s="78">
        <f>IFERROR(G10/M10,"")</f>
        <v>0.47058823529411764</v>
      </c>
      <c r="O10" s="103" t="str">
        <f>'Mercado 1'!$F$10</f>
        <v>-</v>
      </c>
      <c r="P10" s="103" t="str">
        <f>'Mercado 1'!$G$10</f>
        <v>-</v>
      </c>
      <c r="Q10" s="103" t="str">
        <f>'Mercado 1'!$H$10</f>
        <v>-</v>
      </c>
      <c r="R10" s="103" t="str">
        <f>'Mercado 1'!$I$10</f>
        <v>-</v>
      </c>
      <c r="S10" s="117">
        <f>IF('Mercado 1'!$M$10="","",'Mercado 1'!$M$10)</f>
        <v>2</v>
      </c>
      <c r="T10" s="104" t="str">
        <f>IF('Mercado 1'!$O$10="","",'Mercado 1'!$O$10)</f>
        <v>Alta</v>
      </c>
      <c r="U10" s="95">
        <f>IF('Mercado 1'!$Q$9&lt;=Estratégia!$U$6,0.5,0)+IF('Mercado 1'!$S$9&gt;=Mercado!$U$6,0.5,0)</f>
        <v>0.5</v>
      </c>
      <c r="V10" s="94">
        <f>IF('Mercado 1'!$Q$9&lt;=Estratégia!$V$6,0.5,0)+IF('Mercado 1'!$S$9&gt;=Estratégia!$V$6,0.5,0)</f>
        <v>0.5</v>
      </c>
      <c r="W10" s="94">
        <f>IF('Mercado 1'!$Q$9&lt;=Estratégia!$W$6,0.5,0)+IF('Mercado 1'!$S$9&gt;=Estratégia!$W$6,0.5,0)</f>
        <v>0.5</v>
      </c>
      <c r="X10" s="94">
        <f>IF('Mercado 1'!$Q$9&lt;=Estratégia!$X$6,0.5,0)+IF('Mercado 1'!$S$9&gt;=Estratégia!$X$6,0.5,0)</f>
        <v>0.5</v>
      </c>
      <c r="Y10" s="94">
        <f>IF('Mercado 1'!$Q$9&lt;=Estratégia!$Y$6,0.5,0)+IF('Mercado 1'!$S$9&gt;=Estratégia!$Y$6,0.5,0)</f>
        <v>0.5</v>
      </c>
      <c r="Z10" s="79" t="str">
        <f ca="1">IF(OR(AA10&lt;&gt;"",'Mercado 1'!$D$15="No Planificado"),'Mercado 1'!$D$15,IF(AND(AA10="",MONTH(TODAY())&gt;'Mercado 1'!$S$9),"Retrasado","A Tiempo"))</f>
        <v>A Tiempo</v>
      </c>
      <c r="AA10" s="76" t="str">
        <f>IF('Mercado 1'!$D$12="","",'Mercado 1'!$D$12)</f>
        <v/>
      </c>
      <c r="AB10" s="77">
        <f t="shared" ref="AB10:AB22" si="2">IF($AA10="Não cumpre",0,IF($AA10="Parcial",$E10*0.4,IF($AA10="Cumpre",$E10*0.7,IF($AA10="Mais que cumpre",$E10*0.85,IF($AA10="Melhor Prática",E10,0)))))</f>
        <v>0</v>
      </c>
      <c r="AC10" s="78">
        <f>IFERROR(AB10/M10,"")</f>
        <v>0</v>
      </c>
      <c r="AD10" s="103" t="str">
        <f>'Mercado 1'!$F$12</f>
        <v/>
      </c>
      <c r="AE10" s="103" t="str">
        <f>'Mercado 1'!$G$12</f>
        <v/>
      </c>
      <c r="AF10" s="103" t="str">
        <f>'Mercado 1'!$H$12</f>
        <v/>
      </c>
      <c r="AG10" s="103" t="str">
        <f>'Mercado 1'!$I$12</f>
        <v/>
      </c>
    </row>
    <row r="11" spans="1:33" ht="45.75" customHeight="1" x14ac:dyDescent="0.25">
      <c r="B11" s="115" t="s">
        <v>124</v>
      </c>
      <c r="C11" s="160" t="s">
        <v>81</v>
      </c>
      <c r="D11" s="160" t="s">
        <v>142</v>
      </c>
      <c r="E11" s="74">
        <v>1.4999999999999999E-2</v>
      </c>
      <c r="F11" s="76" t="str">
        <f>'Mercado 2'!$D$7</f>
        <v>Parcial</v>
      </c>
      <c r="G11" s="88">
        <f t="shared" si="0"/>
        <v>6.0000000000000001E-3</v>
      </c>
      <c r="H11" s="103">
        <f>'Mercado 2'!$F$7</f>
        <v>3</v>
      </c>
      <c r="I11" s="103">
        <f>'Mercado 2'!$G$7</f>
        <v>2</v>
      </c>
      <c r="J11" s="103">
        <f>'Mercado 2'!$H$7</f>
        <v>1</v>
      </c>
      <c r="K11" s="103" t="str">
        <f>'Mercado 2'!$I$7</f>
        <v/>
      </c>
      <c r="L11" s="76" t="str">
        <f>IF('Mercado 2'!$D$10="","",'Mercado 2'!$D$10)</f>
        <v>Mais que Cumpre</v>
      </c>
      <c r="M11" s="77">
        <f t="shared" si="1"/>
        <v>1.2749999999999999E-2</v>
      </c>
      <c r="N11" s="78">
        <f t="shared" ref="N11:N22" si="3">IFERROR(G11/M11,"")</f>
        <v>0.4705882352941177</v>
      </c>
      <c r="O11" s="103" t="str">
        <f>'Mercado 2'!$F$10</f>
        <v>-</v>
      </c>
      <c r="P11" s="103" t="str">
        <f>'Mercado 2'!$G$10</f>
        <v>-</v>
      </c>
      <c r="Q11" s="103" t="str">
        <f>'Mercado 2'!$H$10</f>
        <v>-</v>
      </c>
      <c r="R11" s="103" t="str">
        <f>'Mercado 2'!$I$10</f>
        <v>-</v>
      </c>
      <c r="S11" s="118">
        <f>IF('Mercado 2'!$M$10="","",'Mercado 2'!$M$10)</f>
        <v>2</v>
      </c>
      <c r="T11" s="104" t="str">
        <f>IF('Mercado 2'!$O$10="","",'Mercado 2'!$O$10)</f>
        <v>Baja</v>
      </c>
      <c r="U11" s="95">
        <f>IF('Mercado 2'!$Q$9&lt;=Estratégia!$U$6,0.5,0)+IF('Mercado 2'!$S$9&gt;=Mercado!$U$6,0.5,0)</f>
        <v>0.5</v>
      </c>
      <c r="V11" s="94">
        <f>IF('Mercado 2'!$Q$9&lt;=Estratégia!$V$6,0.5,0)+IF('Mercado 2'!$S$9&gt;=Estratégia!$V$6,0.5,0)</f>
        <v>0.5</v>
      </c>
      <c r="W11" s="94">
        <f>IF('Mercado 2'!$Q$9&lt;=Estratégia!$W$6,0.5,0)+IF('Mercado 2'!$S$9&gt;=Estratégia!$W$6,0.5,0)</f>
        <v>0.5</v>
      </c>
      <c r="X11" s="94">
        <f>IF('Mercado 2'!$Q$9&lt;=Estratégia!$X$6,0.5,0)+IF('Mercado 2'!$S$9&gt;=Estratégia!$X$6,0.5,0)</f>
        <v>0.5</v>
      </c>
      <c r="Y11" s="94">
        <f>IF('Mercado 2'!$Q$9&lt;=Estratégia!$Y$6,0.5,0)+IF('Mercado 2'!$S$9&gt;=Estratégia!$Y$6,0.5,0)</f>
        <v>0.5</v>
      </c>
      <c r="Z11" s="79" t="str">
        <f ca="1">IF(OR(AA11&lt;&gt;"",'Mercado 2'!$D$15="No Planificado"),'Mercado 2'!$D$15,IF(AND(AA11="",MONTH(TODAY())&gt;'Mercado 2'!$S$9),"Retrasado","A Tiempo"))</f>
        <v>Retrasado</v>
      </c>
      <c r="AA11" s="76" t="str">
        <f>IF('Mercado 2'!$D$12="","",'Mercado 2'!$D$12)</f>
        <v>Cumpre</v>
      </c>
      <c r="AB11" s="77">
        <f t="shared" si="2"/>
        <v>1.0499999999999999E-2</v>
      </c>
      <c r="AC11" s="78">
        <f t="shared" ref="AC11:AC22" si="4">IFERROR(AB11/M11,"")</f>
        <v>0.82352941176470584</v>
      </c>
      <c r="AD11" s="103">
        <f>'Mercado 2'!$F$12</f>
        <v>3</v>
      </c>
      <c r="AE11" s="103">
        <f>'Mercado 2'!$G$12</f>
        <v>3</v>
      </c>
      <c r="AF11" s="103">
        <f>'Mercado 2'!$H$12</f>
        <v>2</v>
      </c>
      <c r="AG11" s="103" t="str">
        <f>'Mercado 2'!$I$12</f>
        <v/>
      </c>
    </row>
    <row r="12" spans="1:33" ht="45.75" customHeight="1" x14ac:dyDescent="0.25">
      <c r="B12" s="115" t="s">
        <v>124</v>
      </c>
      <c r="C12" s="160" t="s">
        <v>83</v>
      </c>
      <c r="D12" s="160" t="s">
        <v>143</v>
      </c>
      <c r="E12" s="72">
        <v>1.4999999999999999E-2</v>
      </c>
      <c r="F12" s="76" t="str">
        <f>'Mercado 3'!$D$7</f>
        <v>Não cumpre</v>
      </c>
      <c r="G12" s="88">
        <f t="shared" si="0"/>
        <v>0</v>
      </c>
      <c r="H12" s="103">
        <f>'Mercado 3'!$F$7</f>
        <v>2</v>
      </c>
      <c r="I12" s="103">
        <f>'Mercado 3'!$G$7</f>
        <v>3</v>
      </c>
      <c r="J12" s="103">
        <f>'Mercado 3'!$H$7</f>
        <v>3</v>
      </c>
      <c r="K12" s="103" t="str">
        <f>'Mercado 3'!$I$7</f>
        <v/>
      </c>
      <c r="L12" s="76" t="str">
        <f>IF('Mercado 3'!$D$10="","",'Mercado 3'!$D$10)</f>
        <v>Mais que Cumpre</v>
      </c>
      <c r="M12" s="77">
        <f t="shared" si="1"/>
        <v>1.2749999999999999E-2</v>
      </c>
      <c r="N12" s="78">
        <f t="shared" si="3"/>
        <v>0</v>
      </c>
      <c r="O12" s="103" t="str">
        <f>'Mercado 3'!$F$10</f>
        <v>D</v>
      </c>
      <c r="P12" s="103" t="str">
        <f>'Mercado 3'!$G$10</f>
        <v>D</v>
      </c>
      <c r="Q12" s="103" t="str">
        <f>'Mercado 3'!$H$10</f>
        <v>D</v>
      </c>
      <c r="R12" s="103" t="str">
        <f>'Mercado 3'!$I$10</f>
        <v>-</v>
      </c>
      <c r="S12" s="118">
        <f>IF('Mercado 3'!$M$10="","",'Mercado 3'!$M$10)</f>
        <v>2</v>
      </c>
      <c r="T12" s="104" t="str">
        <f>IF('Mercado 3'!$O$10="","",'Mercado 3'!$O$10)</f>
        <v>Alta</v>
      </c>
      <c r="U12" s="95">
        <f>IF('Mercado 3'!$Q$9&lt;=Estratégia!$U$6,0.5,0)+IF('Mercado 3'!$S$9&gt;=Mercado!$U$6,0.5,0)</f>
        <v>0.5</v>
      </c>
      <c r="V12" s="94">
        <f>IF('Mercado 3'!$Q$9&lt;=Estratégia!$V$6,0.5,0)+IF('Mercado 3'!$S$9&gt;=Estratégia!$V$6,0.5,0)</f>
        <v>0.5</v>
      </c>
      <c r="W12" s="94">
        <f>IF('Mercado 3'!$Q$9&lt;=Estratégia!$W$6,0.5,0)+IF('Mercado 3'!$S$9&gt;=Estratégia!$W$6,0.5,0)</f>
        <v>0.5</v>
      </c>
      <c r="X12" s="94">
        <f>IF('Mercado 3'!$Q$9&lt;=Estratégia!$X$6,0.5,0)+IF('Mercado 3'!$S$9&gt;=Estratégia!$X$6,0.5,0)</f>
        <v>0.5</v>
      </c>
      <c r="Y12" s="94">
        <f>IF('Mercado 3'!$Q$9&lt;=Estratégia!$Y$6,0.5,0)+IF('Mercado 3'!$S$9&gt;=Estratégia!$Y$6,0.5,0)</f>
        <v>0.5</v>
      </c>
      <c r="Z12" s="79" t="str">
        <f ca="1">IF(OR(AA12&lt;&gt;"",'Mercado 3'!$D$15="No Planificado"),'Mercado 3'!$D$15,IF(AND(AA12="",MONTH(TODAY())&gt;'Mercado 3'!$S$9),"Retrasado","A Tiempo"))</f>
        <v>Retrasado</v>
      </c>
      <c r="AA12" s="76" t="str">
        <f>IF('Mercado 3'!$D$12="","",'Mercado 3'!$D$12)</f>
        <v>Mais que cumpre</v>
      </c>
      <c r="AB12" s="77">
        <f t="shared" si="2"/>
        <v>1.2749999999999999E-2</v>
      </c>
      <c r="AC12" s="78">
        <f t="shared" si="4"/>
        <v>1</v>
      </c>
      <c r="AD12" s="103">
        <f>'Mercado 3'!$F$12</f>
        <v>3</v>
      </c>
      <c r="AE12" s="103">
        <f>'Mercado 3'!$G$12</f>
        <v>3</v>
      </c>
      <c r="AF12" s="103">
        <f>'Mercado 3'!$H$12</f>
        <v>3</v>
      </c>
      <c r="AG12" s="103" t="str">
        <f>'Mercado 3'!$I$12</f>
        <v/>
      </c>
    </row>
    <row r="13" spans="1:33" ht="45.75" customHeight="1" x14ac:dyDescent="0.25">
      <c r="B13" s="115" t="s">
        <v>144</v>
      </c>
      <c r="C13" s="160" t="s">
        <v>85</v>
      </c>
      <c r="D13" s="160" t="s">
        <v>145</v>
      </c>
      <c r="E13" s="74">
        <v>0.02</v>
      </c>
      <c r="F13" s="76" t="str">
        <f>'Mercado 4'!$D$7</f>
        <v>Não cumpre</v>
      </c>
      <c r="G13" s="88">
        <f t="shared" si="0"/>
        <v>0</v>
      </c>
      <c r="H13" s="103">
        <f>'Mercado 4'!$F$7</f>
        <v>1</v>
      </c>
      <c r="I13" s="103" t="str">
        <f>'Mercado 4'!$G$7</f>
        <v/>
      </c>
      <c r="J13" s="103" t="str">
        <f>'Mercado 4'!$H$7</f>
        <v/>
      </c>
      <c r="K13" s="103" t="str">
        <f>'Mercado 4'!$I$7</f>
        <v/>
      </c>
      <c r="L13" s="76" t="str">
        <f>IF('Mercado 4'!$D$10="","",'Mercado 4'!$D$10)</f>
        <v>Cumpre</v>
      </c>
      <c r="M13" s="77">
        <f t="shared" si="1"/>
        <v>1.3999999999999999E-2</v>
      </c>
      <c r="N13" s="78">
        <f t="shared" si="3"/>
        <v>0</v>
      </c>
      <c r="O13" s="103" t="str">
        <f>'Mercado 4'!$F$10</f>
        <v>-</v>
      </c>
      <c r="P13" s="103" t="str">
        <f>'Mercado 4'!$G$10</f>
        <v>D</v>
      </c>
      <c r="Q13" s="103" t="str">
        <f>'Mercado 4'!$H$10</f>
        <v>D</v>
      </c>
      <c r="R13" s="103" t="str">
        <f>'Mercado 4'!$I$10</f>
        <v>-</v>
      </c>
      <c r="S13" s="118">
        <f>IF('Mercado 4'!$M$10="","",'Mercado 4'!$M$10)</f>
        <v>2</v>
      </c>
      <c r="T13" s="104" t="str">
        <f>IF('Mercado 4'!$O$10="","",'Mercado 4'!$O$10)</f>
        <v>Alta</v>
      </c>
      <c r="U13" s="95">
        <f>IF('Mercado 4'!$Q$9&lt;=Estratégia!$U$6,0.5,0)+IF('Mercado 4'!$S$9&gt;=Mercado!$U$6,0.5,0)</f>
        <v>0.5</v>
      </c>
      <c r="V13" s="94">
        <f>IF('Mercado 4'!$Q$9&lt;=Estratégia!$V$6,0.5,0)+IF('Mercado 4'!$S$9&gt;=Estratégia!$V$6,0.5,0)</f>
        <v>0.5</v>
      </c>
      <c r="W13" s="94">
        <f>IF('Mercado 4'!$Q$9&lt;=Estratégia!$W$6,0.5,0)+IF('Mercado 4'!$S$9&gt;=Estratégia!$W$6,0.5,0)</f>
        <v>0.5</v>
      </c>
      <c r="X13" s="94">
        <f>IF('Mercado 4'!$Q$9&lt;=Estratégia!$X$6,0.5,0)+IF('Mercado 4'!$S$9&gt;=Estratégia!$X$6,0.5,0)</f>
        <v>0.5</v>
      </c>
      <c r="Y13" s="94">
        <f>IF('Mercado 4'!$Q$9&lt;=Estratégia!$Y$6,0.5,0)+IF('Mercado 4'!$S$9&gt;=Estratégia!$Y$6,0.5,0)</f>
        <v>0.5</v>
      </c>
      <c r="Z13" s="79" t="str">
        <f ca="1">IF(OR(AA13&lt;&gt;"",'Mercado 4'!$D$15="No Planificado"),'Mercado 4'!$D$15,IF(AND(AA13="",MONTH(TODAY())&gt;'Mercado 4'!$S$9),"Retrasado","A Tiempo"))</f>
        <v>A Tiempo</v>
      </c>
      <c r="AA13" s="76" t="str">
        <f>IF('Mercado 4'!$D$12="","",'Mercado 4'!$D$12)</f>
        <v>Cumpre</v>
      </c>
      <c r="AB13" s="77">
        <f t="shared" si="2"/>
        <v>1.3999999999999999E-2</v>
      </c>
      <c r="AC13" s="78">
        <f t="shared" si="4"/>
        <v>1</v>
      </c>
      <c r="AD13" s="103">
        <f>'Mercado 4'!$F$12</f>
        <v>3</v>
      </c>
      <c r="AE13" s="103">
        <f>'Mercado 4'!$G$12</f>
        <v>3</v>
      </c>
      <c r="AF13" s="103" t="str">
        <f>'Mercado 4'!$H$12</f>
        <v/>
      </c>
      <c r="AG13" s="103" t="str">
        <f>'Mercado 4'!$I$12</f>
        <v/>
      </c>
    </row>
    <row r="14" spans="1:33" ht="45.75" customHeight="1" x14ac:dyDescent="0.25">
      <c r="B14" s="115" t="s">
        <v>144</v>
      </c>
      <c r="C14" s="160" t="s">
        <v>88</v>
      </c>
      <c r="D14" s="160" t="s">
        <v>146</v>
      </c>
      <c r="E14" s="72">
        <v>1.4999999999999999E-2</v>
      </c>
      <c r="F14" s="76" t="str">
        <f>'Mercado 5'!$D$7</f>
        <v>Não cumpre</v>
      </c>
      <c r="G14" s="88">
        <f t="shared" si="0"/>
        <v>0</v>
      </c>
      <c r="H14" s="103">
        <f>'Mercado 5'!$F$7</f>
        <v>1</v>
      </c>
      <c r="I14" s="103">
        <f>'Mercado 5'!$G$7</f>
        <v>1</v>
      </c>
      <c r="J14" s="103" t="str">
        <f>'Mercado 5'!$H$7</f>
        <v/>
      </c>
      <c r="K14" s="103" t="str">
        <f>'Mercado 5'!$I$7</f>
        <v/>
      </c>
      <c r="L14" s="76" t="str">
        <f>IF('Mercado 5'!$D$10="","",'Mercado 5'!$D$10)</f>
        <v>Cumpre</v>
      </c>
      <c r="M14" s="77">
        <f t="shared" si="1"/>
        <v>1.0499999999999999E-2</v>
      </c>
      <c r="N14" s="78">
        <f t="shared" si="3"/>
        <v>0</v>
      </c>
      <c r="O14" s="103" t="str">
        <f>'Mercado 5'!$F$10</f>
        <v>-</v>
      </c>
      <c r="P14" s="103" t="str">
        <f>'Mercado 5'!$G$10</f>
        <v>D</v>
      </c>
      <c r="Q14" s="103" t="str">
        <f>'Mercado 5'!$H$10</f>
        <v>D</v>
      </c>
      <c r="R14" s="103" t="str">
        <f>'Mercado 5'!$I$10</f>
        <v>-</v>
      </c>
      <c r="S14" s="118">
        <f>IF('Mercado 5'!$M$10="","",'Mercado 5'!$M$10)</f>
        <v>2</v>
      </c>
      <c r="T14" s="104" t="str">
        <f>IF('Mercado 5'!$O$10="","",'Mercado 5'!$O$10)</f>
        <v>Alta</v>
      </c>
      <c r="U14" s="95">
        <f>IF('Mercado 5'!$Q$9&lt;=Estratégia!$U$6,0.5,0)+IF('Mercado 5'!$S$9&gt;=Mercado!$U$6,0.5,0)</f>
        <v>0.5</v>
      </c>
      <c r="V14" s="94">
        <f>IF('Mercado 5'!$Q$9&lt;=Estratégia!$V$6,0.5,0)+IF('Mercado 5'!$S$9&gt;=Estratégia!$V$6,0.5,0)</f>
        <v>0.5</v>
      </c>
      <c r="W14" s="94">
        <f>IF('Mercado 5'!$Q$9&lt;=Estratégia!$W$6,0.5,0)+IF('Mercado 5'!$S$9&gt;=Estratégia!$W$6,0.5,0)</f>
        <v>0.5</v>
      </c>
      <c r="X14" s="94">
        <f>IF('Mercado 5'!$Q$9&lt;=Estratégia!$X$6,0.5,0)+IF('Mercado 5'!$S$9&gt;=Estratégia!$X$6,0.5,0)</f>
        <v>0.5</v>
      </c>
      <c r="Y14" s="94">
        <f>IF('Mercado 5'!$Q$9&lt;=Estratégia!$Y$6,0.5,0)+IF('Mercado 5'!$S$9&gt;=Estratégia!$Y$6,0.5,0)</f>
        <v>0.5</v>
      </c>
      <c r="Z14" s="79" t="str">
        <f ca="1">IF(OR(AA14&lt;&gt;"",'Mercado 5'!$D$15="No Planificado"),'Mercado 5'!$D$15,IF(AND(AA14="",MONTH(TODAY())&gt;'Mercado 5'!$S$9),"Retrasado","A Tiempo"))</f>
        <v>Retrasado</v>
      </c>
      <c r="AA14" s="76" t="str">
        <f>IF('Mercado 5'!$D$12="","",'Mercado 5'!$D$12)</f>
        <v>Cumpre</v>
      </c>
      <c r="AB14" s="77">
        <f t="shared" si="2"/>
        <v>1.0499999999999999E-2</v>
      </c>
      <c r="AC14" s="78">
        <f t="shared" si="4"/>
        <v>1</v>
      </c>
      <c r="AD14" s="103">
        <f>'Mercado 5'!$F$12</f>
        <v>3</v>
      </c>
      <c r="AE14" s="103">
        <f>'Mercado 5'!$G$12</f>
        <v>3</v>
      </c>
      <c r="AF14" s="103" t="str">
        <f>'Mercado 5'!$H$12</f>
        <v/>
      </c>
      <c r="AG14" s="103" t="str">
        <f>'Mercado 5'!$I$12</f>
        <v/>
      </c>
    </row>
    <row r="15" spans="1:33" ht="45.75" customHeight="1" x14ac:dyDescent="0.25">
      <c r="B15" s="115" t="s">
        <v>144</v>
      </c>
      <c r="C15" s="160" t="s">
        <v>90</v>
      </c>
      <c r="D15" s="160" t="s">
        <v>147</v>
      </c>
      <c r="E15" s="72">
        <v>0.02</v>
      </c>
      <c r="F15" s="76" t="str">
        <f>'Mercado 6'!$D$7</f>
        <v>Parcial</v>
      </c>
      <c r="G15" s="88">
        <f t="shared" si="0"/>
        <v>8.0000000000000002E-3</v>
      </c>
      <c r="H15" s="103">
        <f>'Mercado 6'!$F$7</f>
        <v>3</v>
      </c>
      <c r="I15" s="103">
        <f>'Mercado 6'!$G$7</f>
        <v>2</v>
      </c>
      <c r="J15" s="103" t="str">
        <f>'Mercado 6'!$H$7</f>
        <v/>
      </c>
      <c r="K15" s="103" t="str">
        <f>'Mercado 6'!$I$7</f>
        <v/>
      </c>
      <c r="L15" s="76" t="str">
        <f>IF('Mercado 6'!$D$10="","",'Mercado 6'!$D$10)</f>
        <v>Cumpre</v>
      </c>
      <c r="M15" s="77">
        <f t="shared" si="1"/>
        <v>1.3999999999999999E-2</v>
      </c>
      <c r="N15" s="78">
        <f t="shared" si="3"/>
        <v>0.57142857142857151</v>
      </c>
      <c r="O15" s="103" t="str">
        <f>'Mercado 6'!$F$10</f>
        <v>-</v>
      </c>
      <c r="P15" s="103" t="str">
        <f>'Mercado 6'!$G$10</f>
        <v>D</v>
      </c>
      <c r="Q15" s="103" t="str">
        <f>'Mercado 6'!$H$10</f>
        <v>D</v>
      </c>
      <c r="R15" s="103" t="str">
        <f>'Mercado 6'!$I$10</f>
        <v>-</v>
      </c>
      <c r="S15" s="118">
        <f>IF('Mercado 6'!$M$10="","",'Mercado 6'!$M$10)</f>
        <v>2</v>
      </c>
      <c r="T15" s="104" t="str">
        <f>IF('Mercado 6'!$O$10="","",'Mercado 6'!$O$10)</f>
        <v>Alta</v>
      </c>
      <c r="U15" s="95">
        <f>IF('Mercado 6'!$Q$9&lt;=Estratégia!$U$6,0.5,0)+IF('Mercado 6'!$S$9&gt;=Mercado!$U$6,0.5,0)</f>
        <v>0.5</v>
      </c>
      <c r="V15" s="94">
        <f>IF('Mercado 6'!$Q$9&lt;=Estratégia!$V$6,0.5,0)+IF('Mercado 6'!$S$9&gt;=Estratégia!$V$6,0.5,0)</f>
        <v>0.5</v>
      </c>
      <c r="W15" s="94">
        <f>IF('Mercado 6'!$Q$9&lt;=Estratégia!$W$6,0.5,0)+IF('Mercado 6'!$S$9&gt;=Estratégia!$W$6,0.5,0)</f>
        <v>0.5</v>
      </c>
      <c r="X15" s="94">
        <f>IF('Mercado 6'!$Q$9&lt;=Estratégia!$X$6,0.5,0)+IF('Mercado 6'!$S$9&gt;=Estratégia!$X$6,0.5,0)</f>
        <v>0.5</v>
      </c>
      <c r="Y15" s="94">
        <f>IF('Mercado 6'!$Q$9&lt;=Estratégia!$Y$6,0.5,0)+IF('Mercado 6'!$S$9&gt;=Estratégia!$Y$6,0.5,0)</f>
        <v>0.5</v>
      </c>
      <c r="Z15" s="79" t="str">
        <f ca="1">IF(OR(AA15&lt;&gt;"",'Mercado 6'!$D$15="No Planificado"),'Mercado 6'!$D$15,IF(AND(AA15="",MONTH(TODAY())&gt;'Mercado 6'!$S$9),"Retrasado","A Tiempo"))</f>
        <v>A Tiempo</v>
      </c>
      <c r="AA15" s="76" t="str">
        <f>IF('Mercado 6'!$D$12="","",'Mercado 6'!$D$12)</f>
        <v>Cumpre</v>
      </c>
      <c r="AB15" s="77">
        <f t="shared" si="2"/>
        <v>1.3999999999999999E-2</v>
      </c>
      <c r="AC15" s="78">
        <f t="shared" si="4"/>
        <v>1</v>
      </c>
      <c r="AD15" s="103">
        <f>'Mercado 6'!$F$12</f>
        <v>3</v>
      </c>
      <c r="AE15" s="103">
        <f>'Mercado 6'!$G$12</f>
        <v>3</v>
      </c>
      <c r="AF15" s="103" t="str">
        <f>'Mercado 6'!$H$12</f>
        <v/>
      </c>
      <c r="AG15" s="103" t="str">
        <f>'Mercado 6'!$I$12</f>
        <v/>
      </c>
    </row>
    <row r="16" spans="1:33" ht="45.75" customHeight="1" x14ac:dyDescent="0.25">
      <c r="B16" s="115" t="s">
        <v>148</v>
      </c>
      <c r="C16" s="160" t="s">
        <v>93</v>
      </c>
      <c r="D16" s="160" t="s">
        <v>149</v>
      </c>
      <c r="E16" s="72">
        <v>0.02</v>
      </c>
      <c r="F16" s="76" t="str">
        <f>'Mercado 7'!$D$7</f>
        <v>Não cumpre</v>
      </c>
      <c r="G16" s="88">
        <f t="shared" si="0"/>
        <v>0</v>
      </c>
      <c r="H16" s="103">
        <f>'Mercado 7'!$F$7</f>
        <v>1</v>
      </c>
      <c r="I16" s="103">
        <f>'Mercado 7'!$G$7</f>
        <v>1</v>
      </c>
      <c r="J16" s="103">
        <f>'Mercado 7'!$H$7</f>
        <v>1</v>
      </c>
      <c r="K16" s="103" t="str">
        <f>'Mercado 7'!$I$7</f>
        <v/>
      </c>
      <c r="L16" s="76" t="str">
        <f>IF('Mercado 7'!$D$10="","",'Mercado 7'!$D$10)</f>
        <v>Mais que Cumpre</v>
      </c>
      <c r="M16" s="77">
        <f t="shared" si="1"/>
        <v>1.7000000000000001E-2</v>
      </c>
      <c r="N16" s="78">
        <f t="shared" si="3"/>
        <v>0</v>
      </c>
      <c r="O16" s="103" t="str">
        <f>'Mercado 7'!$F$10</f>
        <v>D</v>
      </c>
      <c r="P16" s="103" t="str">
        <f>'Mercado 7'!$G$10</f>
        <v>D</v>
      </c>
      <c r="Q16" s="103" t="str">
        <f>'Mercado 7'!$H$10</f>
        <v>D</v>
      </c>
      <c r="R16" s="103" t="str">
        <f>'Mercado 7'!$I$10</f>
        <v>-</v>
      </c>
      <c r="S16" s="118">
        <f>IF('Mercado 7'!$M$10="","",'Mercado 7'!$M$10)</f>
        <v>2</v>
      </c>
      <c r="T16" s="104" t="str">
        <f>IF('Mercado 7'!$O$10="","",'Mercado 7'!$O$10)</f>
        <v>Baja</v>
      </c>
      <c r="U16" s="95">
        <f>IF('Mercado 7'!$Q$9&lt;=Estratégia!$U$6,0.5,0)+IF('Mercado 7'!$S$9&gt;=Mercado!$U$6,0.5,0)</f>
        <v>0.5</v>
      </c>
      <c r="V16" s="94">
        <f>IF('Mercado 7'!$Q$9&lt;=Estratégia!$V$6,0.5,0)+IF('Mercado 7'!$S$9&gt;=Estratégia!$V$6,0.5,0)</f>
        <v>0.5</v>
      </c>
      <c r="W16" s="94">
        <f>IF('Mercado 7'!$Q$9&lt;=Estratégia!$W$6,0.5,0)+IF('Mercado 7'!$S$9&gt;=Estratégia!$W$6,0.5,0)</f>
        <v>1</v>
      </c>
      <c r="X16" s="94">
        <f>IF('Mercado 7'!$Q$9&lt;=Estratégia!$X$6,0.5,0)+IF('Mercado 7'!$S$9&gt;=Estratégia!$X$6,0.5,0)</f>
        <v>1</v>
      </c>
      <c r="Y16" s="94">
        <f>IF('Mercado 7'!$Q$9&lt;=Estratégia!$Y$6,0.5,0)+IF('Mercado 7'!$S$9&gt;=Estratégia!$Y$6,0.5,0)</f>
        <v>1</v>
      </c>
      <c r="Z16" s="79" t="str">
        <f ca="1">IF(OR(AA16&lt;&gt;"",'Mercado 7'!$D$15="No Planificado"),'Mercado 7'!$D$15,IF(AND(AA16="",MONTH(TODAY())&gt;'Mercado 7'!$S$9),"Retrasado","A Tiempo"))</f>
        <v>Retrasado</v>
      </c>
      <c r="AA16" s="76" t="str">
        <f>IF('Mercado 7'!$D$12="","",'Mercado 7'!$D$12)</f>
        <v>Cumpre</v>
      </c>
      <c r="AB16" s="77">
        <f t="shared" si="2"/>
        <v>1.3999999999999999E-2</v>
      </c>
      <c r="AC16" s="78">
        <f t="shared" si="4"/>
        <v>0.82352941176470573</v>
      </c>
      <c r="AD16" s="103">
        <f>'Mercado 7'!$F$12</f>
        <v>3</v>
      </c>
      <c r="AE16" s="103">
        <f>'Mercado 7'!$G$12</f>
        <v>3</v>
      </c>
      <c r="AF16" s="103">
        <f>'Mercado 7'!$H$12</f>
        <v>2</v>
      </c>
      <c r="AG16" s="103">
        <f>'Mercado 7'!$I$12</f>
        <v>2</v>
      </c>
    </row>
    <row r="17" spans="2:33" ht="45.75" customHeight="1" x14ac:dyDescent="0.25">
      <c r="B17" s="115" t="s">
        <v>148</v>
      </c>
      <c r="C17" s="160" t="s">
        <v>95</v>
      </c>
      <c r="D17" s="160" t="s">
        <v>150</v>
      </c>
      <c r="E17" s="74">
        <v>2.5000000000000001E-2</v>
      </c>
      <c r="F17" s="76" t="str">
        <f>'Mercado 8'!$D$7</f>
        <v>Parcial</v>
      </c>
      <c r="G17" s="88">
        <f t="shared" si="0"/>
        <v>1.0000000000000002E-2</v>
      </c>
      <c r="H17" s="103">
        <f>'Mercado 8'!$F$7</f>
        <v>3</v>
      </c>
      <c r="I17" s="103">
        <f>'Mercado 8'!$G$7</f>
        <v>1</v>
      </c>
      <c r="J17" s="103">
        <f>'Mercado 8'!$H$7</f>
        <v>3</v>
      </c>
      <c r="K17" s="103" t="str">
        <f>'Mercado 8'!$I$7</f>
        <v/>
      </c>
      <c r="L17" s="76" t="str">
        <f>IF('Mercado 8'!$D$10="","",'Mercado 8'!$D$10)</f>
        <v>Mais que Cumpre</v>
      </c>
      <c r="M17" s="77">
        <f t="shared" si="1"/>
        <v>2.1250000000000002E-2</v>
      </c>
      <c r="N17" s="78">
        <f t="shared" si="3"/>
        <v>0.4705882352941177</v>
      </c>
      <c r="O17" s="103" t="str">
        <f>'Mercado 8'!$F$10</f>
        <v>D</v>
      </c>
      <c r="P17" s="103" t="str">
        <f>'Mercado 8'!$G$10</f>
        <v>D</v>
      </c>
      <c r="Q17" s="103" t="str">
        <f>'Mercado 8'!$H$10</f>
        <v>D</v>
      </c>
      <c r="R17" s="103" t="str">
        <f>'Mercado 8'!$I$10</f>
        <v>-</v>
      </c>
      <c r="S17" s="118">
        <f>IF('Mercado 8'!$M$10="","",'Mercado 8'!$M$10)</f>
        <v>2</v>
      </c>
      <c r="T17" s="104" t="str">
        <f>IF('Mercado 8'!$O$10="","",'Mercado 8'!$O$10)</f>
        <v>Alta</v>
      </c>
      <c r="U17" s="95">
        <f>IF('Mercado 8'!$Q$9&lt;=Estratégia!$U$6,0.5,0)+IF('Mercado 8'!$S$9&gt;=Mercado!$U$6,0.5,0)</f>
        <v>0.5</v>
      </c>
      <c r="V17" s="94">
        <f>IF('Mercado 8'!$Q$9&lt;=Estratégia!$V$6,0.5,0)+IF('Mercado 8'!$S$9&gt;=Estratégia!$V$6,0.5,0)</f>
        <v>0.5</v>
      </c>
      <c r="W17" s="94">
        <f>IF('Mercado 8'!$Q$9&lt;=Estratégia!$W$6,0.5,0)+IF('Mercado 8'!$S$9&gt;=Estratégia!$W$6,0.5,0)</f>
        <v>0.5</v>
      </c>
      <c r="X17" s="94">
        <f>IF('Mercado 8'!$Q$9&lt;=Estratégia!$X$6,0.5,0)+IF('Mercado 8'!$S$9&gt;=Estratégia!$X$6,0.5,0)</f>
        <v>0.5</v>
      </c>
      <c r="Y17" s="94">
        <f>IF('Mercado 8'!$Q$9&lt;=Estratégia!$Y$6,0.5,0)+IF('Mercado 8'!$S$9&gt;=Estratégia!$Y$6,0.5,0)</f>
        <v>0.5</v>
      </c>
      <c r="Z17" s="79" t="str">
        <f ca="1">IF(OR(AA17&lt;&gt;"",'Mercado 8'!$D$15="No Planificado"),'Mercado 8'!$D$15,IF(AND(AA17="",MONTH(TODAY())&gt;'Mercado 8'!$S$9),"Retrasado","A Tiempo"))</f>
        <v>Retrasado</v>
      </c>
      <c r="AA17" s="76" t="str">
        <f>IF('Mercado 8'!$D$12="","",'Mercado 8'!$D$12)</f>
        <v>Cumpre</v>
      </c>
      <c r="AB17" s="77">
        <f t="shared" si="2"/>
        <v>1.7499999999999998E-2</v>
      </c>
      <c r="AC17" s="78">
        <f t="shared" si="4"/>
        <v>0.82352941176470573</v>
      </c>
      <c r="AD17" s="103">
        <f>'Mercado 8'!$F$12</f>
        <v>3</v>
      </c>
      <c r="AE17" s="103">
        <f>'Mercado 8'!$G$12</f>
        <v>3</v>
      </c>
      <c r="AF17" s="103">
        <f>'Mercado 8'!$H$12</f>
        <v>2</v>
      </c>
      <c r="AG17" s="103">
        <f>'Mercado 8'!$I$12</f>
        <v>3</v>
      </c>
    </row>
    <row r="18" spans="2:33" ht="45.75" customHeight="1" x14ac:dyDescent="0.25">
      <c r="B18" s="115" t="s">
        <v>148</v>
      </c>
      <c r="C18" s="160" t="s">
        <v>97</v>
      </c>
      <c r="D18" s="160" t="s">
        <v>151</v>
      </c>
      <c r="E18" s="72">
        <v>0.02</v>
      </c>
      <c r="F18" s="76" t="str">
        <f>'Mercado 9'!$D$7</f>
        <v>Não cumpre</v>
      </c>
      <c r="G18" s="88">
        <f t="shared" si="0"/>
        <v>0</v>
      </c>
      <c r="H18" s="103">
        <f>'Mercado 9'!$F$7</f>
        <v>2</v>
      </c>
      <c r="I18" s="103">
        <f>'Mercado 9'!$G$7</f>
        <v>3</v>
      </c>
      <c r="J18" s="103" t="str">
        <f>'Mercado 9'!$H$7</f>
        <v/>
      </c>
      <c r="K18" s="103" t="str">
        <f>'Mercado 9'!$I$7</f>
        <v/>
      </c>
      <c r="L18" s="76" t="str">
        <f>IF('Mercado 9'!$D$10="","",'Mercado 9'!$D$10)</f>
        <v>Cumpre</v>
      </c>
      <c r="M18" s="77">
        <f t="shared" si="1"/>
        <v>1.3999999999999999E-2</v>
      </c>
      <c r="N18" s="78">
        <f t="shared" si="3"/>
        <v>0</v>
      </c>
      <c r="O18" s="103" t="str">
        <f>'Mercado 9'!$F$10</f>
        <v>-</v>
      </c>
      <c r="P18" s="103" t="str">
        <f>'Mercado 9'!$G$10</f>
        <v>D</v>
      </c>
      <c r="Q18" s="103" t="str">
        <f>'Mercado 9'!$H$10</f>
        <v>-</v>
      </c>
      <c r="R18" s="103" t="str">
        <f>'Mercado 9'!$I$10</f>
        <v>-</v>
      </c>
      <c r="S18" s="118">
        <f>IF('Mercado 9'!$M$10="","",'Mercado 9'!$M$10)</f>
        <v>2</v>
      </c>
      <c r="T18" s="104" t="str">
        <f>IF('Mercado 9'!$O$10="","",'Mercado 9'!$O$10)</f>
        <v>Baja</v>
      </c>
      <c r="U18" s="95">
        <f>IF('Mercado 9'!$Q$9&lt;=Estratégia!$U$6,0.5,0)+IF('Mercado 9'!$S$9&gt;=Mercado!$U$6,0.5,0)</f>
        <v>0.5</v>
      </c>
      <c r="V18" s="94">
        <f>IF('Mercado 9'!$Q$9&lt;=Estratégia!$V$6,0.5,0)+IF('Mercado 9'!$S$9&gt;=Estratégia!$V$6,0.5,0)</f>
        <v>0.5</v>
      </c>
      <c r="W18" s="94">
        <f>IF('Mercado 9'!$Q$9&lt;=Estratégia!$W$6,0.5,0)+IF('Mercado 9'!$S$9&gt;=Estratégia!$W$6,0.5,0)</f>
        <v>0.5</v>
      </c>
      <c r="X18" s="94">
        <f>IF('Mercado 9'!$Q$9&lt;=Estratégia!$X$6,0.5,0)+IF('Mercado 9'!$S$9&gt;=Estratégia!$X$6,0.5,0)</f>
        <v>0.5</v>
      </c>
      <c r="Y18" s="94">
        <f>IF('Mercado 9'!$Q$9&lt;=Estratégia!$Y$6,0.5,0)+IF('Mercado 9'!$S$9&gt;=Estratégia!$Y$6,0.5,0)</f>
        <v>0.5</v>
      </c>
      <c r="Z18" s="79" t="str">
        <f ca="1">IF(OR(AA18&lt;&gt;"",'Mercado 9'!$D$15="No Planificado"),'Mercado 9'!$D$15,IF(AND(AA18="",MONTH(TODAY())&gt;'Mercado 9'!$S$9),"Retrasado","A Tiempo"))</f>
        <v>A Tiempo</v>
      </c>
      <c r="AA18" s="76" t="str">
        <f>IF('Mercado 9'!$D$12="","",'Mercado 9'!$D$12)</f>
        <v>Cumpre</v>
      </c>
      <c r="AB18" s="77">
        <f t="shared" si="2"/>
        <v>1.3999999999999999E-2</v>
      </c>
      <c r="AC18" s="78">
        <f t="shared" si="4"/>
        <v>1</v>
      </c>
      <c r="AD18" s="103">
        <f>'Mercado 9'!$F$12</f>
        <v>3</v>
      </c>
      <c r="AE18" s="103">
        <f>'Mercado 9'!$G$12</f>
        <v>3</v>
      </c>
      <c r="AF18" s="103" t="str">
        <f>'Mercado 9'!$H$12</f>
        <v/>
      </c>
      <c r="AG18" s="103" t="str">
        <f>'Mercado 9'!$I$12</f>
        <v/>
      </c>
    </row>
    <row r="19" spans="2:33" ht="45.75" customHeight="1" x14ac:dyDescent="0.25">
      <c r="B19" s="115" t="s">
        <v>152</v>
      </c>
      <c r="C19" s="160" t="s">
        <v>100</v>
      </c>
      <c r="D19" s="160" t="s">
        <v>153</v>
      </c>
      <c r="E19" s="74">
        <v>0.02</v>
      </c>
      <c r="F19" s="76" t="str">
        <f>'Mercado 10'!$D$7</f>
        <v>Não cumpre</v>
      </c>
      <c r="G19" s="88">
        <f t="shared" si="0"/>
        <v>0</v>
      </c>
      <c r="H19" s="103">
        <f>'Mercado 10'!$F$7</f>
        <v>1</v>
      </c>
      <c r="I19" s="103">
        <f>'Mercado 10'!$G$7</f>
        <v>3</v>
      </c>
      <c r="J19" s="103" t="str">
        <f>'Mercado 10'!$H$7</f>
        <v/>
      </c>
      <c r="K19" s="103">
        <f>'Mercado 10'!$I$7</f>
        <v>3</v>
      </c>
      <c r="L19" s="76" t="str">
        <f>IF('Mercado 10'!$D$10="","",'Mercado 10'!$D$10)</f>
        <v>Melhor Prática</v>
      </c>
      <c r="M19" s="77">
        <f t="shared" si="1"/>
        <v>0.02</v>
      </c>
      <c r="N19" s="78">
        <f t="shared" si="3"/>
        <v>0</v>
      </c>
      <c r="O19" s="103" t="str">
        <f>'Mercado 10'!$F$10</f>
        <v>-</v>
      </c>
      <c r="P19" s="103" t="str">
        <f>'Mercado 10'!$G$10</f>
        <v>D</v>
      </c>
      <c r="Q19" s="103" t="str">
        <f>'Mercado 10'!$H$10</f>
        <v>-</v>
      </c>
      <c r="R19" s="103" t="str">
        <f>'Mercado 10'!$I$10</f>
        <v>-</v>
      </c>
      <c r="S19" s="118">
        <f>IF('Mercado 10'!$M$10="","",'Mercado 10'!$M$10)</f>
        <v>3</v>
      </c>
      <c r="T19" s="104" t="str">
        <f>IF('Mercado 10'!$O$10="","",'Mercado 10'!$O$10)</f>
        <v>Baja</v>
      </c>
      <c r="U19" s="95">
        <f>IF('Mercado 10'!$Q$9&lt;=Estratégia!$U$6,0.5,0)+IF('Mercado 10'!$S$9&gt;=Mercado!$U$6,0.5,0)</f>
        <v>0.5</v>
      </c>
      <c r="V19" s="94">
        <f>IF('Mercado 10'!$Q$9&lt;=Estratégia!$V$6,0.5,0)+IF('Mercado 10'!$S$9&gt;=Estratégia!$V$6,0.5,0)</f>
        <v>0.5</v>
      </c>
      <c r="W19" s="94">
        <f>IF('Mercado 10'!$Q$9&lt;=Estratégia!$W$6,0.5,0)+IF('Mercado 10'!$S$9&gt;=Estratégia!$W$6,0.5,0)</f>
        <v>0.5</v>
      </c>
      <c r="X19" s="94">
        <f>IF('Mercado 10'!$Q$9&lt;=Estratégia!$X$6,0.5,0)+IF('Mercado 10'!$S$9&gt;=Estratégia!$X$6,0.5,0)</f>
        <v>0.5</v>
      </c>
      <c r="Y19" s="94">
        <f>IF('Mercado 10'!$Q$9&lt;=Estratégia!$Y$6,0.5,0)+IF('Mercado 10'!$S$9&gt;=Estratégia!$Y$6,0.5,0)</f>
        <v>0.5</v>
      </c>
      <c r="Z19" s="79" t="str">
        <f ca="1">IF(OR(AA19&lt;&gt;"",'Mercado 10'!$D$15="No Planificado"),'Mercado 10'!$D$15,IF(AND(AA19="",MONTH(TODAY())&gt;'Mercado 10'!$S$9),"Retrasado","A Tiempo"))</f>
        <v>A Tiempo</v>
      </c>
      <c r="AA19" s="76" t="str">
        <f>IF('Mercado 10'!$D$12="","",'Mercado 10'!$D$12)</f>
        <v>Cumpre</v>
      </c>
      <c r="AB19" s="77">
        <f t="shared" si="2"/>
        <v>1.3999999999999999E-2</v>
      </c>
      <c r="AC19" s="78">
        <f t="shared" si="4"/>
        <v>0.7</v>
      </c>
      <c r="AD19" s="103">
        <f>'Mercado 10'!$F$12</f>
        <v>3</v>
      </c>
      <c r="AE19" s="103">
        <f>'Mercado 10'!$G$12</f>
        <v>3</v>
      </c>
      <c r="AF19" s="103" t="str">
        <f>'Mercado 10'!$H$12</f>
        <v/>
      </c>
      <c r="AG19" s="103">
        <f>'Mercado 10'!$I$12</f>
        <v>3</v>
      </c>
    </row>
    <row r="20" spans="2:33" ht="45.75" customHeight="1" x14ac:dyDescent="0.25">
      <c r="B20" s="115" t="s">
        <v>152</v>
      </c>
      <c r="C20" s="160" t="s">
        <v>103</v>
      </c>
      <c r="D20" s="160" t="s">
        <v>154</v>
      </c>
      <c r="E20" s="72">
        <v>1.4999999999999999E-2</v>
      </c>
      <c r="F20" s="76" t="str">
        <f>'Mercado 11'!$D$7</f>
        <v>Não cumpre</v>
      </c>
      <c r="G20" s="88">
        <f t="shared" si="0"/>
        <v>0</v>
      </c>
      <c r="H20" s="103">
        <f>'Mercado 11'!$F$7</f>
        <v>1</v>
      </c>
      <c r="I20" s="103">
        <f>'Mercado 11'!$G$7</f>
        <v>1</v>
      </c>
      <c r="J20" s="103" t="str">
        <f>'Mercado 11'!$H$7</f>
        <v/>
      </c>
      <c r="K20" s="103" t="str">
        <f>'Mercado 11'!$I$7</f>
        <v/>
      </c>
      <c r="L20" s="76" t="str">
        <f>IF('Mercado 11'!$D$10="","",'Mercado 11'!$D$10)</f>
        <v>Cumpre</v>
      </c>
      <c r="M20" s="77">
        <f t="shared" si="1"/>
        <v>1.0499999999999999E-2</v>
      </c>
      <c r="N20" s="78">
        <f t="shared" si="3"/>
        <v>0</v>
      </c>
      <c r="O20" s="103" t="str">
        <f>'Mercado 11'!$F$10</f>
        <v>D</v>
      </c>
      <c r="P20" s="103" t="str">
        <f>'Mercado 11'!$G$10</f>
        <v>D</v>
      </c>
      <c r="Q20" s="103" t="str">
        <f>'Mercado 11'!$H$10</f>
        <v>-</v>
      </c>
      <c r="R20" s="103" t="str">
        <f>'Mercado 11'!$I$10</f>
        <v>-</v>
      </c>
      <c r="S20" s="118">
        <f>IF('Mercado 11'!$M$10="","",'Mercado 11'!$M$10)</f>
        <v>2</v>
      </c>
      <c r="T20" s="104" t="str">
        <f>IF('Mercado 11'!$O$10="","",'Mercado 11'!$O$10)</f>
        <v>Baja</v>
      </c>
      <c r="U20" s="95">
        <f>IF('Mercado 11'!$Q$9&lt;=Estratégia!$U$6,0.5,0)+IF('Mercado 11'!$S$9&gt;=Mercado!$U$6,0.5,0)</f>
        <v>0.5</v>
      </c>
      <c r="V20" s="94">
        <f>IF('Mercado 11'!$Q$9&lt;=Estratégia!$V$6,0.5,0)+IF('Mercado 11'!$S$9&gt;=Estratégia!$V$6,0.5,0)</f>
        <v>0.5</v>
      </c>
      <c r="W20" s="94">
        <f>IF('Mercado 11'!$Q$9&lt;=Estratégia!$W$6,0.5,0)+IF('Mercado 11'!$S$9&gt;=Estratégia!$W$6,0.5,0)</f>
        <v>0.5</v>
      </c>
      <c r="X20" s="94">
        <f>IF('Mercado 11'!$Q$9&lt;=Estratégia!$X$6,0.5,0)+IF('Mercado 11'!$S$9&gt;=Estratégia!$X$6,0.5,0)</f>
        <v>0.5</v>
      </c>
      <c r="Y20" s="94">
        <f>IF('Mercado 11'!$Q$9&lt;=Estratégia!$Y$6,0.5,0)+IF('Mercado 11'!$S$9&gt;=Estratégia!$Y$6,0.5,0)</f>
        <v>0.5</v>
      </c>
      <c r="Z20" s="79" t="str">
        <f ca="1">IF(OR(AA20&lt;&gt;"",'Mercado 11'!$D$15="No Planificado"),'Mercado 11'!$D$15,IF(AND(AA20="",MONTH(TODAY())&gt;'Mercado 11'!$S$9),"Retrasado","A Tiempo"))</f>
        <v>A Tiempo</v>
      </c>
      <c r="AA20" s="76" t="str">
        <f>IF('Mercado 11'!$D$12="","",'Mercado 11'!$D$12)</f>
        <v>Cumpre</v>
      </c>
      <c r="AB20" s="77">
        <f t="shared" si="2"/>
        <v>1.0499999999999999E-2</v>
      </c>
      <c r="AC20" s="78">
        <f t="shared" si="4"/>
        <v>1</v>
      </c>
      <c r="AD20" s="103">
        <f>'Mercado 11'!$F$12</f>
        <v>3</v>
      </c>
      <c r="AE20" s="103">
        <f>'Mercado 11'!$G$12</f>
        <v>3</v>
      </c>
      <c r="AF20" s="103" t="str">
        <f>'Mercado 11'!$H$12</f>
        <v/>
      </c>
      <c r="AG20" s="103" t="str">
        <f>'Mercado 11'!$I$12</f>
        <v/>
      </c>
    </row>
    <row r="21" spans="2:33" ht="45.75" customHeight="1" x14ac:dyDescent="0.25">
      <c r="B21" s="115" t="s">
        <v>152</v>
      </c>
      <c r="C21" s="160" t="s">
        <v>106</v>
      </c>
      <c r="D21" s="160" t="s">
        <v>155</v>
      </c>
      <c r="E21" s="74">
        <v>1.4999999999999999E-2</v>
      </c>
      <c r="F21" s="76" t="str">
        <f>'Mercado 12'!$D$7</f>
        <v>Parcial</v>
      </c>
      <c r="G21" s="88">
        <f t="shared" si="0"/>
        <v>6.0000000000000001E-3</v>
      </c>
      <c r="H21" s="103">
        <f>'Mercado 12'!$F$7</f>
        <v>3</v>
      </c>
      <c r="I21" s="103">
        <f>'Mercado 12'!$G$7</f>
        <v>1</v>
      </c>
      <c r="J21" s="103">
        <f>'Mercado 12'!$H$7</f>
        <v>1</v>
      </c>
      <c r="K21" s="103" t="str">
        <f>'Mercado 12'!$I$7</f>
        <v/>
      </c>
      <c r="L21" s="76" t="str">
        <f>IF('Mercado 12'!$D$10="","",'Mercado 12'!$D$10)</f>
        <v>Mais que Cumpre</v>
      </c>
      <c r="M21" s="77">
        <f t="shared" si="1"/>
        <v>1.2749999999999999E-2</v>
      </c>
      <c r="N21" s="78">
        <f t="shared" si="3"/>
        <v>0.4705882352941177</v>
      </c>
      <c r="O21" s="103" t="str">
        <f>'Mercado 12'!$F$10</f>
        <v>-</v>
      </c>
      <c r="P21" s="103" t="str">
        <f>'Mercado 12'!$G$10</f>
        <v>D</v>
      </c>
      <c r="Q21" s="103" t="str">
        <f>'Mercado 12'!$H$10</f>
        <v>D</v>
      </c>
      <c r="R21" s="103" t="str">
        <f>'Mercado 12'!$I$10</f>
        <v>D</v>
      </c>
      <c r="S21" s="118">
        <f>IF('Mercado 12'!$M$10="","",'Mercado 12'!$M$10)</f>
        <v>3</v>
      </c>
      <c r="T21" s="104" t="str">
        <f>IF('Mercado 12'!$O$10="","",'Mercado 12'!$O$10)</f>
        <v>Alta</v>
      </c>
      <c r="U21" s="95">
        <f>IF('Mercado 12'!$Q$9&lt;=Estratégia!$U$6,0.5,0)+IF('Mercado 12'!$S$9&gt;=Mercado!$U$6,0.5,0)</f>
        <v>0.5</v>
      </c>
      <c r="V21" s="94">
        <f>IF('Mercado 12'!$Q$9&lt;=Estratégia!$V$6,0.5,0)+IF('Mercado 12'!$S$9&gt;=Estratégia!$V$6,0.5,0)</f>
        <v>0.5</v>
      </c>
      <c r="W21" s="94">
        <f>IF('Mercado 12'!$Q$9&lt;=Estratégia!$W$6,0.5,0)+IF('Mercado 12'!$S$9&gt;=Estratégia!$W$6,0.5,0)</f>
        <v>0.5</v>
      </c>
      <c r="X21" s="94">
        <f>IF('Mercado 12'!$Q$9&lt;=Estratégia!$X$6,0.5,0)+IF('Mercado 12'!$S$9&gt;=Estratégia!$X$6,0.5,0)</f>
        <v>0.5</v>
      </c>
      <c r="Y21" s="94">
        <f>IF('Mercado 12'!$Q$9&lt;=Estratégia!$Y$6,0.5,0)+IF('Mercado 12'!$S$9&gt;=Estratégia!$Y$6,0.5,0)</f>
        <v>0.5</v>
      </c>
      <c r="Z21" s="79" t="str">
        <f ca="1">IF(OR(AA21&lt;&gt;"",'Mercado 12'!$D$15="No Planificado"),'Mercado 12'!$D$15,IF(AND(AA21="",MONTH(TODAY())&gt;'Mercado 12'!$S$9),"Retrasado","A Tiempo"))</f>
        <v>Retrasado</v>
      </c>
      <c r="AA21" s="76" t="str">
        <f>IF('Mercado 12'!$D$12="","",'Mercado 12'!$D$12)</f>
        <v>Parcial</v>
      </c>
      <c r="AB21" s="77">
        <f t="shared" si="2"/>
        <v>6.0000000000000001E-3</v>
      </c>
      <c r="AC21" s="78">
        <f t="shared" si="4"/>
        <v>0.4705882352941177</v>
      </c>
      <c r="AD21" s="103">
        <f>'Mercado 12'!$F$12</f>
        <v>3</v>
      </c>
      <c r="AE21" s="103">
        <f>'Mercado 12'!$G$12</f>
        <v>1</v>
      </c>
      <c r="AF21" s="103">
        <f>'Mercado 12'!$H$12</f>
        <v>3</v>
      </c>
      <c r="AG21" s="103" t="str">
        <f>'Mercado 12'!$I$12</f>
        <v/>
      </c>
    </row>
    <row r="22" spans="2:33" ht="45.75" customHeight="1" x14ac:dyDescent="0.25">
      <c r="B22" s="115" t="s">
        <v>152</v>
      </c>
      <c r="C22" s="160" t="s">
        <v>108</v>
      </c>
      <c r="D22" s="160" t="s">
        <v>156</v>
      </c>
      <c r="E22" s="72">
        <v>5.0000000000000001E-3</v>
      </c>
      <c r="F22" s="76" t="str">
        <f>'Mercado 13'!$D$7</f>
        <v>Parcial</v>
      </c>
      <c r="G22" s="88">
        <f t="shared" si="0"/>
        <v>2E-3</v>
      </c>
      <c r="H22" s="103">
        <f>'Mercado 13'!$F$7</f>
        <v>3</v>
      </c>
      <c r="I22" s="103">
        <f>'Mercado 13'!$G$7</f>
        <v>2</v>
      </c>
      <c r="J22" s="103">
        <f>'Mercado 13'!$H$7</f>
        <v>3</v>
      </c>
      <c r="K22" s="103" t="str">
        <f>'Mercado 13'!$I$7</f>
        <v/>
      </c>
      <c r="L22" s="76" t="str">
        <f>IF('Mercado 13'!$D$10="","",'Mercado 13'!$D$10)</f>
        <v>Mais que Cumpre</v>
      </c>
      <c r="M22" s="77">
        <f t="shared" si="1"/>
        <v>4.2500000000000003E-3</v>
      </c>
      <c r="N22" s="78">
        <f t="shared" si="3"/>
        <v>0.47058823529411764</v>
      </c>
      <c r="O22" s="103" t="str">
        <f>'Mercado 13'!$F$10</f>
        <v>-</v>
      </c>
      <c r="P22" s="103" t="str">
        <f>'Mercado 13'!$G$10</f>
        <v>-</v>
      </c>
      <c r="Q22" s="103" t="str">
        <f>'Mercado 13'!$H$10</f>
        <v>D</v>
      </c>
      <c r="R22" s="103" t="str">
        <f>'Mercado 13'!$I$10</f>
        <v>D</v>
      </c>
      <c r="S22" s="118">
        <f>IF('Mercado 13'!$M$10="","",'Mercado 13'!$M$10)</f>
        <v>3</v>
      </c>
      <c r="T22" s="104" t="str">
        <f>IF('Mercado 13'!$O$10="","",'Mercado 13'!$O$10)</f>
        <v>Baja</v>
      </c>
      <c r="U22" s="95">
        <f>IF('Mercado 13'!$Q$9&lt;=Estratégia!$U$6,0.5,0)+IF('Mercado 13'!$S$9&gt;=Mercado!$U$6,0.5,0)</f>
        <v>0.5</v>
      </c>
      <c r="V22" s="94">
        <f>IF('Mercado 13'!$Q$9&lt;=Estratégia!$V$6,0.5,0)+IF('Mercado 13'!$S$9&gt;=Estratégia!$V$6,0.5,0)</f>
        <v>0.5</v>
      </c>
      <c r="W22" s="94">
        <f>IF('Mercado 13'!$Q$9&lt;=Estratégia!$W$6,0.5,0)+IF('Mercado 13'!$S$9&gt;=Estratégia!$W$6,0.5,0)</f>
        <v>0.5</v>
      </c>
      <c r="X22" s="94">
        <f>IF('Mercado 13'!$Q$9&lt;=Estratégia!$X$6,0.5,0)+IF('Mercado 13'!$S$9&gt;=Estratégia!$X$6,0.5,0)</f>
        <v>0.5</v>
      </c>
      <c r="Y22" s="94">
        <f>IF('Mercado 13'!$Q$9&lt;=Estratégia!$Y$6,0.5,0)+IF('Mercado 13'!$S$9&gt;=Estratégia!$Y$6,0.5,0)</f>
        <v>0.5</v>
      </c>
      <c r="Z22" s="79" t="str">
        <f ca="1">IF(OR(AA22&lt;&gt;"",'Mercado 13'!$D$15="No Planificado"),'Mercado 13'!$D$15,IF(AND(AA22="",MONTH(TODAY())&gt;'Mercado 13'!$S$9),"Retrasado","A Tiempo"))</f>
        <v>A Tiempo</v>
      </c>
      <c r="AA22" s="76" t="str">
        <f>IF('Mercado 13'!$D$12="","",'Mercado 13'!$D$12)</f>
        <v>Mais que cumpre</v>
      </c>
      <c r="AB22" s="77">
        <f t="shared" si="2"/>
        <v>4.2500000000000003E-3</v>
      </c>
      <c r="AC22" s="78">
        <f t="shared" si="4"/>
        <v>1</v>
      </c>
      <c r="AD22" s="103">
        <f>'Mercado 13'!$F$12</f>
        <v>3</v>
      </c>
      <c r="AE22" s="103">
        <f>'Mercado 13'!$G$12</f>
        <v>3</v>
      </c>
      <c r="AF22" s="103">
        <f>'Mercado 13'!$H$12</f>
        <v>3</v>
      </c>
      <c r="AG22" s="103" t="str">
        <f>'Mercado 13'!$I$12</f>
        <v/>
      </c>
    </row>
    <row r="23" spans="2:33" ht="45.75" customHeight="1" x14ac:dyDescent="0.25">
      <c r="B23" s="115" t="s">
        <v>102</v>
      </c>
      <c r="C23" s="160" t="s">
        <v>110</v>
      </c>
      <c r="D23" s="160" t="s">
        <v>157</v>
      </c>
      <c r="E23" s="74">
        <v>1.4999999999999999E-2</v>
      </c>
      <c r="F23" s="76" t="str">
        <f>'Mercado 14'!$D$7</f>
        <v>Não cumpre</v>
      </c>
      <c r="G23" s="88">
        <f t="shared" si="0"/>
        <v>0</v>
      </c>
      <c r="H23" s="103">
        <f>'Mercado 14'!$F$7</f>
        <v>1</v>
      </c>
      <c r="I23" s="103" t="str">
        <f>'Mercado 14'!$G$7</f>
        <v/>
      </c>
      <c r="J23" s="103" t="str">
        <f>'Mercado 14'!$H$7</f>
        <v/>
      </c>
      <c r="K23" s="103" t="str">
        <f>'Mercado 14'!$I$7</f>
        <v/>
      </c>
      <c r="L23" s="76" t="str">
        <f>IF('Mercado 14'!$D$10="","",'Mercado 14'!$D$10)</f>
        <v>Parcial</v>
      </c>
      <c r="M23" s="77">
        <f t="shared" si="1"/>
        <v>6.0000000000000001E-3</v>
      </c>
      <c r="N23" s="78">
        <f>IFERROR(G23/M23,"")</f>
        <v>0</v>
      </c>
      <c r="O23" s="103" t="str">
        <f>'Mercado 14'!$F$10</f>
        <v>D</v>
      </c>
      <c r="P23" s="103" t="str">
        <f>'Mercado 14'!$G$10</f>
        <v>D</v>
      </c>
      <c r="Q23" s="103" t="str">
        <f>'Mercado 14'!$H$10</f>
        <v>-</v>
      </c>
      <c r="R23" s="103" t="str">
        <f>'Mercado 14'!$I$10</f>
        <v>-</v>
      </c>
      <c r="S23" s="118">
        <f>IF('Mercado 14'!$M$10="","",'Mercado 14'!$M$10)</f>
        <v>1</v>
      </c>
      <c r="T23" s="104" t="str">
        <f>IF('Mercado 14'!$O$10="","",'Mercado 14'!$O$10)</f>
        <v>Alta</v>
      </c>
      <c r="U23" s="95">
        <f>IF('Mercado 14'!$Q$9&lt;=Estratégia!$U$6,0.5,0)+IF('Mercado 14'!$S$9&gt;=Mercado!$U$6,0.5,0)</f>
        <v>0.5</v>
      </c>
      <c r="V23" s="94">
        <f>IF('Mercado 14'!$Q$9&lt;=Estratégia!$V$6,0.5,0)+IF('Mercado 14'!$S$9&gt;=Estratégia!$V$6,0.5,0)</f>
        <v>0.5</v>
      </c>
      <c r="W23" s="94">
        <f>IF('Mercado 14'!$Q$9&lt;=Estratégia!$W$6,0.5,0)+IF('Mercado 14'!$S$9&gt;=Estratégia!$W$6,0.5,0)</f>
        <v>0.5</v>
      </c>
      <c r="X23" s="94">
        <f>IF('Mercado 14'!$Q$9&lt;=Estratégia!$X$6,0.5,0)+IF('Mercado 14'!$S$9&gt;=Estratégia!$X$6,0.5,0)</f>
        <v>0.5</v>
      </c>
      <c r="Y23" s="94">
        <f>IF('Mercado 14'!$Q$9&lt;=Estratégia!$Y$6,0.5,0)+IF('Mercado 14'!$S$9&gt;=Estratégia!$Y$6,0.5,0)</f>
        <v>0.5</v>
      </c>
      <c r="Z23" s="79" t="str">
        <f ca="1">IF(OR(AA23&lt;&gt;"",'Mercado 14'!$D$15="No Planificado"),'Mercado 14'!$D$15,IF(AND(AA23="",MONTH(TODAY())&gt;'Mercado 14'!$S$9),"Retrasado","A Tiempo"))</f>
        <v>Retrasado</v>
      </c>
      <c r="AA23" s="76" t="str">
        <f>IF('Mercado 14'!$D$12="","",'Mercado 14'!$D$12)</f>
        <v>Parcial</v>
      </c>
      <c r="AB23" s="77">
        <f>IF($AA23="Não cumpre",0,IF($AA23="Parcial",$E23*0.4,IF($AA23="Cumpre",$E23*0.7,IF($AA23="Mais que cumpre",$E23*0.85,IF($AA23="Melhor Prática",E23,0)))))</f>
        <v>6.0000000000000001E-3</v>
      </c>
      <c r="AC23" s="78">
        <f>IFERROR(AB23/M23,"")</f>
        <v>1</v>
      </c>
      <c r="AD23" s="103">
        <f>'Mercado 14'!$F$12</f>
        <v>3</v>
      </c>
      <c r="AE23" s="103">
        <f>'Mercado 14'!$G$12</f>
        <v>2</v>
      </c>
      <c r="AF23" s="103">
        <f>'Mercado 14'!$H$12</f>
        <v>2</v>
      </c>
      <c r="AG23" s="103" t="str">
        <f>'Mercado 14'!$I$12</f>
        <v/>
      </c>
    </row>
    <row r="24" spans="2:33" ht="45.75" customHeight="1" x14ac:dyDescent="0.25">
      <c r="B24" s="115" t="s">
        <v>105</v>
      </c>
      <c r="C24" s="160" t="s">
        <v>112</v>
      </c>
      <c r="D24" s="160" t="s">
        <v>158</v>
      </c>
      <c r="E24" s="72">
        <v>0.01</v>
      </c>
      <c r="F24" s="76" t="str">
        <f>'Mercado 15'!$D$7</f>
        <v/>
      </c>
      <c r="G24" s="88">
        <f t="shared" si="0"/>
        <v>0</v>
      </c>
      <c r="H24" s="103" t="str">
        <f>'Mercado 15'!$F$7</f>
        <v/>
      </c>
      <c r="I24" s="103" t="str">
        <f>'Mercado 15'!$G$7</f>
        <v/>
      </c>
      <c r="J24" s="103" t="str">
        <f>'Mercado 15'!$H$7</f>
        <v/>
      </c>
      <c r="K24" s="103" t="str">
        <f>'Mercado 15'!$I$7</f>
        <v/>
      </c>
      <c r="L24" s="76" t="str">
        <f>IF('Mercado 15'!$D$10="","",'Mercado 15'!$D$10)</f>
        <v>Parcial</v>
      </c>
      <c r="M24" s="77">
        <f t="shared" si="1"/>
        <v>4.0000000000000001E-3</v>
      </c>
      <c r="N24" s="78">
        <f>IFERROR(G24/M24,"")</f>
        <v>0</v>
      </c>
      <c r="O24" s="103" t="str">
        <f>'Mercado 15'!$F$10</f>
        <v>-</v>
      </c>
      <c r="P24" s="103" t="str">
        <f>'Mercado 15'!$G$10</f>
        <v>D</v>
      </c>
      <c r="Q24" s="103" t="str">
        <f>'Mercado 15'!$H$10</f>
        <v>D</v>
      </c>
      <c r="R24" s="103" t="str">
        <f>'Mercado 15'!$I$10</f>
        <v>-</v>
      </c>
      <c r="S24" s="118">
        <f>IF('Mercado 15'!$M$10="","",'Mercado 15'!$M$10)</f>
        <v>1</v>
      </c>
      <c r="T24" s="104" t="str">
        <f>IF('Mercado 15'!$O$10="","",'Mercado 15'!$O$10)</f>
        <v>Baja</v>
      </c>
      <c r="U24" s="95">
        <f>IF('Mercado 15'!$Q$9&lt;=Estratégia!$U$6,0.5,0)+IF('Mercado 15'!$S$9&gt;=Mercado!$U$6,0.5,0)</f>
        <v>0.5</v>
      </c>
      <c r="V24" s="94">
        <f>IF('Mercado 15'!$Q$9&lt;=Estratégia!$V$6,0.5,0)+IF('Mercado 15'!$S$9&gt;=Estratégia!$V$6,0.5,0)</f>
        <v>0.5</v>
      </c>
      <c r="W24" s="94">
        <f>IF('Mercado 15'!$Q$9&lt;=Estratégia!$W$6,0.5,0)+IF('Mercado 15'!$S$9&gt;=Estratégia!$W$6,0.5,0)</f>
        <v>0.5</v>
      </c>
      <c r="X24" s="94">
        <f>IF('Mercado 15'!$Q$9&lt;=Estratégia!$X$6,0.5,0)+IF('Mercado 15'!$S$9&gt;=Estratégia!$X$6,0.5,0)</f>
        <v>0.5</v>
      </c>
      <c r="Y24" s="94">
        <f>IF('Mercado 15'!$Q$9&lt;=Estratégia!$Y$6,0.5,0)+IF('Mercado 15'!$S$9&gt;=Estratégia!$Y$6,0.5,0)</f>
        <v>0.5</v>
      </c>
      <c r="Z24" s="79" t="str">
        <f ca="1">IF(OR(AA24&lt;&gt;"",'Mercado 15'!$D$15="No Planificado"),'Mercado 15'!$D$15,IF(AND(AA24="",MONTH(TODAY())&gt;'Mercado 15'!$S$9),"Retrasado","A Tiempo"))</f>
        <v>A Tiempo</v>
      </c>
      <c r="AA24" s="76" t="str">
        <f>IF('Mercado 15'!$D$12="","",'Mercado 15'!$D$12)</f>
        <v>Parcial</v>
      </c>
      <c r="AB24" s="77">
        <f>IF($AA24="Não cumpre",0,IF($AA24="Parcial",$E24*0.4,IF($AA24="cumpre",$E24*0.7,IF($AA24="Mais que cumpre",$E24*0.85,IF($AA24="Melhor Prática",E24,0)))))</f>
        <v>4.0000000000000001E-3</v>
      </c>
      <c r="AC24" s="78">
        <f>IFERROR(AB24/M24,"")</f>
        <v>1</v>
      </c>
      <c r="AD24" s="103">
        <f>'Mercado 15'!$F$12</f>
        <v>3</v>
      </c>
      <c r="AE24" s="103" t="str">
        <f>'Mercado 15'!$G$12</f>
        <v/>
      </c>
      <c r="AF24" s="103" t="str">
        <f>'Mercado 15'!$H$12</f>
        <v/>
      </c>
      <c r="AG24" s="103" t="str">
        <f>'Mercado 15'!$I$12</f>
        <v/>
      </c>
    </row>
    <row r="25" spans="2:33" x14ac:dyDescent="0.25"/>
    <row r="26" spans="2:33" ht="11.25" customHeight="1" x14ac:dyDescent="0.25">
      <c r="B26" s="82"/>
      <c r="C26" s="246" t="s">
        <v>10</v>
      </c>
      <c r="D26" s="246"/>
      <c r="E26" s="247">
        <f>SUM(E10:E24)</f>
        <v>0.25</v>
      </c>
      <c r="F26" s="293"/>
      <c r="G26" s="250">
        <f>SUM(G10:G24)</f>
        <v>0.04</v>
      </c>
      <c r="H26" s="89"/>
      <c r="I26" s="89"/>
      <c r="J26" s="89"/>
      <c r="K26" s="89"/>
      <c r="L26" s="83"/>
      <c r="M26" s="252">
        <f>SUM(M10:M24)</f>
        <v>0.19075</v>
      </c>
      <c r="N26" s="254">
        <f>IFERROR(G26/M26,"")</f>
        <v>0.20969855832241152</v>
      </c>
      <c r="O26" s="90"/>
      <c r="P26" s="90"/>
      <c r="Q26" s="90"/>
      <c r="R26" s="90"/>
      <c r="S26" s="90"/>
      <c r="T26" s="90"/>
      <c r="U26" s="90"/>
      <c r="V26" s="90"/>
      <c r="W26" s="90"/>
      <c r="X26" s="90"/>
      <c r="Y26" s="90"/>
      <c r="Z26" s="84"/>
      <c r="AA26" s="85"/>
      <c r="AB26" s="256">
        <f>SUM(AB10:AB24)</f>
        <v>0.15200000000000002</v>
      </c>
      <c r="AC26" s="258">
        <f>IFERROR(M26/AB26,"")</f>
        <v>1.2549342105263157</v>
      </c>
      <c r="AD26" s="245"/>
      <c r="AE26" s="245"/>
      <c r="AF26" s="245"/>
      <c r="AG26" s="245"/>
    </row>
    <row r="27" spans="2:33" ht="24" x14ac:dyDescent="0.25">
      <c r="B27" s="82"/>
      <c r="C27" s="246"/>
      <c r="D27" s="246"/>
      <c r="E27" s="247"/>
      <c r="F27" s="294"/>
      <c r="G27" s="251"/>
      <c r="H27" s="89"/>
      <c r="I27" s="89"/>
      <c r="J27" s="89"/>
      <c r="K27" s="89"/>
      <c r="L27" s="86"/>
      <c r="M27" s="253"/>
      <c r="N27" s="255"/>
      <c r="O27" s="90"/>
      <c r="P27" s="90"/>
      <c r="Q27" s="90"/>
      <c r="R27" s="90"/>
      <c r="S27" s="90"/>
      <c r="T27" s="90"/>
      <c r="U27" s="90"/>
      <c r="V27" s="90"/>
      <c r="W27" s="90"/>
      <c r="X27" s="90"/>
      <c r="Y27" s="90"/>
      <c r="Z27" s="84"/>
      <c r="AA27" s="85"/>
      <c r="AB27" s="256"/>
      <c r="AC27" s="258"/>
      <c r="AD27" s="245"/>
      <c r="AE27" s="245"/>
      <c r="AF27" s="245"/>
      <c r="AG27" s="245"/>
    </row>
    <row r="28" spans="2:33" x14ac:dyDescent="0.25"/>
    <row r="29" spans="2:33" ht="15" customHeight="1" x14ac:dyDescent="0.25"/>
    <row r="30" spans="2:33" ht="15" customHeight="1" x14ac:dyDescent="0.25"/>
    <row r="31" spans="2:33" ht="15" customHeight="1" x14ac:dyDescent="0.25"/>
  </sheetData>
  <autoFilter ref="B9:AG9" xr:uid="{F3416D7B-8507-4AF1-AC12-A67AE73E163C}"/>
  <dataConsolidate/>
  <mergeCells count="49">
    <mergeCell ref="AC26:AC27"/>
    <mergeCell ref="AD26:AD27"/>
    <mergeCell ref="AE26:AE27"/>
    <mergeCell ref="AF26:AF27"/>
    <mergeCell ref="AG26:AG27"/>
    <mergeCell ref="AE7:AE8"/>
    <mergeCell ref="AF7:AF8"/>
    <mergeCell ref="AG7:AG8"/>
    <mergeCell ref="C26:D27"/>
    <mergeCell ref="E26:E27"/>
    <mergeCell ref="F26:F27"/>
    <mergeCell ref="G26:G27"/>
    <mergeCell ref="M26:M27"/>
    <mergeCell ref="N26:N27"/>
    <mergeCell ref="AB26:AB27"/>
    <mergeCell ref="Y7:Y8"/>
    <mergeCell ref="Z7:Z8"/>
    <mergeCell ref="AA7:AA8"/>
    <mergeCell ref="AB7:AB8"/>
    <mergeCell ref="AC7:AC8"/>
    <mergeCell ref="AD7:AD8"/>
    <mergeCell ref="X7:X8"/>
    <mergeCell ref="M7:M8"/>
    <mergeCell ref="N7:N8"/>
    <mergeCell ref="O7:O8"/>
    <mergeCell ref="P7:P8"/>
    <mergeCell ref="Q7:Q8"/>
    <mergeCell ref="R7:R8"/>
    <mergeCell ref="S7:S8"/>
    <mergeCell ref="T7:T8"/>
    <mergeCell ref="U7:U8"/>
    <mergeCell ref="V7:V8"/>
    <mergeCell ref="W7:W8"/>
    <mergeCell ref="L7:L8"/>
    <mergeCell ref="F3:AE3"/>
    <mergeCell ref="B5:D5"/>
    <mergeCell ref="F5:J5"/>
    <mergeCell ref="L5:M5"/>
    <mergeCell ref="Z5:AA5"/>
    <mergeCell ref="B7:B8"/>
    <mergeCell ref="C7:C8"/>
    <mergeCell ref="D7:D8"/>
    <mergeCell ref="E7:E8"/>
    <mergeCell ref="F7:F8"/>
    <mergeCell ref="G7:G8"/>
    <mergeCell ref="H7:H8"/>
    <mergeCell ref="I7:I8"/>
    <mergeCell ref="J7:J8"/>
    <mergeCell ref="K7:K8"/>
  </mergeCells>
  <conditionalFormatting sqref="H10:K22">
    <cfRule type="iconSet" priority="34">
      <iconSet showValue="0">
        <cfvo type="percent" val="0"/>
        <cfvo type="num" val="2"/>
        <cfvo type="num" val="3"/>
      </iconSet>
    </cfRule>
  </conditionalFormatting>
  <conditionalFormatting sqref="H23:K24">
    <cfRule type="iconSet" priority="9">
      <iconSet showValue="0">
        <cfvo type="percent" val="0"/>
        <cfvo type="num" val="2"/>
        <cfvo type="num" val="3"/>
      </iconSet>
    </cfRule>
  </conditionalFormatting>
  <conditionalFormatting sqref="N10:N24">
    <cfRule type="dataBar" priority="36">
      <dataBar showValue="0">
        <cfvo type="min"/>
        <cfvo type="max"/>
        <color rgb="FF63C384"/>
      </dataBar>
      <extLst>
        <ext xmlns:x14="http://schemas.microsoft.com/office/spreadsheetml/2009/9/main" uri="{B025F937-C7B1-47D3-B67F-A62EFF666E3E}">
          <x14:id>{32D6CDC5-E950-43C6-B226-EE4E0AE1E98B}</x14:id>
        </ext>
      </extLst>
    </cfRule>
  </conditionalFormatting>
  <conditionalFormatting sqref="O10:R22">
    <cfRule type="iconSet" priority="32">
      <iconSet showValue="0">
        <cfvo type="percent" val="0"/>
        <cfvo type="num" val="2"/>
        <cfvo type="num" val="3"/>
      </iconSet>
    </cfRule>
  </conditionalFormatting>
  <conditionalFormatting sqref="O23:R24">
    <cfRule type="iconSet" priority="5">
      <iconSet showValue="0">
        <cfvo type="percent" val="0"/>
        <cfvo type="num" val="2"/>
        <cfvo type="num" val="3"/>
      </iconSet>
    </cfRule>
  </conditionalFormatting>
  <conditionalFormatting sqref="U10:Y24">
    <cfRule type="cellIs" dxfId="1032" priority="2" operator="equal">
      <formula>2</formula>
    </cfRule>
    <cfRule type="cellIs" dxfId="1031" priority="3" operator="equal">
      <formula>1</formula>
    </cfRule>
    <cfRule type="cellIs" dxfId="1030" priority="4" operator="equal">
      <formula>0</formula>
    </cfRule>
  </conditionalFormatting>
  <conditionalFormatting sqref="AC10:AC22">
    <cfRule type="dataBar" priority="35">
      <dataBar showValue="0">
        <cfvo type="min"/>
        <cfvo type="max"/>
        <color theme="6" tint="0.39997558519241921"/>
      </dataBar>
      <extLst>
        <ext xmlns:x14="http://schemas.microsoft.com/office/spreadsheetml/2009/9/main" uri="{B025F937-C7B1-47D3-B67F-A62EFF666E3E}">
          <x14:id>{7452A8E1-413B-4498-B52E-4853E3D8D287}</x14:id>
        </ext>
      </extLst>
    </cfRule>
  </conditionalFormatting>
  <conditionalFormatting sqref="AC23:AC24">
    <cfRule type="dataBar" priority="6">
      <dataBar showValue="0">
        <cfvo type="min"/>
        <cfvo type="max"/>
        <color theme="6" tint="0.39997558519241921"/>
      </dataBar>
      <extLst>
        <ext xmlns:x14="http://schemas.microsoft.com/office/spreadsheetml/2009/9/main" uri="{B025F937-C7B1-47D3-B67F-A62EFF666E3E}">
          <x14:id>{BB25B772-E24A-4D6A-8ABB-DC107B6353EC}</x14:id>
        </ext>
      </extLst>
    </cfRule>
  </conditionalFormatting>
  <conditionalFormatting sqref="AD10:AG22">
    <cfRule type="iconSet" priority="33">
      <iconSet showValue="0">
        <cfvo type="percent" val="0"/>
        <cfvo type="num" val="2"/>
        <cfvo type="num" val="3"/>
      </iconSet>
    </cfRule>
  </conditionalFormatting>
  <conditionalFormatting sqref="AD23:AG24">
    <cfRule type="iconSet" priority="8">
      <iconSet showValue="0">
        <cfvo type="percent" val="0"/>
        <cfvo type="num" val="2"/>
        <cfvo type="num" val="3"/>
      </iconSet>
    </cfRule>
  </conditionalFormatting>
  <hyperlinks>
    <hyperlink ref="C10" location="'Mercado 1'!A1" display="1." xr:uid="{6F02BF25-A91B-4CDD-AF0C-E9C806E58282}"/>
    <hyperlink ref="D10" location="'Mercado 1'!A1" display="Procesamiento de pedido de instalación y retiro" xr:uid="{CA205E3C-D720-499E-8BFC-789FE9CFCECE}"/>
    <hyperlink ref="C11" location="'Mercado 2'!A1" display="2." xr:uid="{0EDA3D6B-B241-485A-B13C-227C765122D4}"/>
    <hyperlink ref="D11" location="'Mercado 2'!A1" display="Calidad del servicio de instalación" xr:uid="{88E6C3E7-5E54-4088-A426-E382C9F10FCC}"/>
    <hyperlink ref="C12" location="'Mercado 3'!A1" display="3." xr:uid="{8CABBC7D-1675-49CD-B2B0-2B9BAA3797B6}"/>
    <hyperlink ref="D12" location="'Mercado 3'!A1" display="Optimización de retiros" xr:uid="{C3BAB227-E0E1-48B1-86A2-91DE3C2C5253}"/>
    <hyperlink ref="C13" location="'Estrategia 4'!A1" display="4." xr:uid="{69A8F975-5A2F-4706-B18F-F7F073179CE7}"/>
    <hyperlink ref="D13" location="'Mercado 4'!A1" display="Tracking de SLA de instalación" xr:uid="{F7E0522A-86F2-49D1-BE21-A8360DAF7998}"/>
    <hyperlink ref="C14" location="'Mercado 5'!A1" display="5." xr:uid="{AB037D59-0292-4CA6-AE6B-F01872E3F627}"/>
    <hyperlink ref="D14" location="'Mercado 5'!A1" display="Tracking de SLA de retiro" xr:uid="{6869AC21-A43C-48A4-BB0F-8547577B24FD}"/>
    <hyperlink ref="C15" location="'Mercado 6'!A1" display="6." xr:uid="{AA6FB1B3-1552-4481-B9CD-AD8EC9B34653}"/>
    <hyperlink ref="D15" location="'Mercado 6'!A1" display="Análisis de motivos de movimiento" xr:uid="{66DB43BF-A134-4ED8-809F-F69C2C7670BF}"/>
    <hyperlink ref="C16" location="'Mercado 7'!A1" display="7." xr:uid="{5650DE3C-4208-48D2-B329-C418115F8C71}"/>
    <hyperlink ref="D16" location="'Mercado 7'!A1" display="Gestión de la lista foco" xr:uid="{E027C267-1167-424F-B862-213732FE582F}"/>
    <hyperlink ref="C17" location="'Mercado 8'!A1" display="8." xr:uid="{AA9BD1CE-DDFE-4B83-B8DD-BA4D9032446D}"/>
    <hyperlink ref="D17" location="'Mercado 8'!A1" display="Metas de instalación (nuevos y usados)" xr:uid="{96F7B38C-80AC-4BF5-A52B-6F49361A9511}"/>
    <hyperlink ref="C18" location="'Mercado 9'!A1" display="9." xr:uid="{407F1862-90CC-4E59-9D86-7C4000F018C3}"/>
    <hyperlink ref="D18" location="'Mercado 9'!A1" display="Negociación de equipos" xr:uid="{A67F2A36-C38A-404F-81C4-439658FDC17F}"/>
    <hyperlink ref="C19" location="'Mercado 10'!A1" display="10." xr:uid="{3EB468DD-0DF9-4132-BCB5-3D7AA4ACD08D}"/>
    <hyperlink ref="D19" location="'Mercado 10'!A1" display="Atractividad" xr:uid="{7539809B-EEA7-49F3-B4B1-4B6D44BADED4}"/>
    <hyperlink ref="C20" location="'Mercado 11'!A1" display="11." xr:uid="{5DBDF265-66F2-4B40-95E8-4024EEC982EF}"/>
    <hyperlink ref="D20" location="'Mercado 11'!A1" display="Inteligencia de mercado" xr:uid="{8AE3A02E-92FD-4703-9820-EBD49B645806}"/>
    <hyperlink ref="C21" location="'Mercado 12'!A1" display="12." xr:uid="{C244BA57-756A-40BB-ACD1-B5CF76DD9F46}"/>
    <hyperlink ref="D21" location="'Mercado 12'!A1" display="Gestión de equipos del cliente" xr:uid="{76B9AB36-E183-4126-B756-993D30FC48FD}"/>
    <hyperlink ref="C22" location="'Mercado 13'!A1" display="13." xr:uid="{F74AC46F-9B38-4002-89FE-14948C0F3485}"/>
    <hyperlink ref="D22" location="'Mercado 13'!A1" display="Política de inversión de Stills" xr:uid="{73F7A788-B6FA-468C-91BF-728946DD354B}"/>
    <hyperlink ref="C23" location="'Mercado 14'!A1" display="14." xr:uid="{7497AAA6-9A41-4483-85B6-F3EEEE440B92}"/>
    <hyperlink ref="D23" location="'Mercado 14'!A1" display="Conectividad para mercado" xr:uid="{B0EDDA06-BD34-4626-BC3C-6976C9CD3FBB}"/>
    <hyperlink ref="C24" location="'Mercado 15'!A1" display="15." xr:uid="{17988C93-12D4-4EA9-8A85-C1E7F1567EB9}"/>
    <hyperlink ref="D24" location="'Mercado 15'!A1" display="Sustentabilidad en el mercado" xr:uid="{F472ABDD-9B00-4E7E-8C39-68E689540E66}"/>
  </hyperlinks>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dataBar" id="{32D6CDC5-E950-43C6-B226-EE4E0AE1E98B}">
            <x14:dataBar minLength="0" maxLength="100">
              <x14:cfvo type="autoMin"/>
              <x14:cfvo type="autoMax"/>
              <x14:negativeFillColor rgb="FFFF0000"/>
              <x14:axisColor rgb="FF000000"/>
            </x14:dataBar>
          </x14:cfRule>
          <xm:sqref>N10:N24</xm:sqref>
        </x14:conditionalFormatting>
        <x14:conditionalFormatting xmlns:xm="http://schemas.microsoft.com/office/excel/2006/main">
          <x14:cfRule type="iconSet" priority="28" id="{4886930F-BF0A-4766-B3ED-3C6BD0C55345}">
            <x14:iconSet iconSet="3Stars" showValue="0">
              <x14:cfvo type="percent">
                <xm:f>0</xm:f>
              </x14:cfvo>
              <x14:cfvo type="num">
                <xm:f>2</xm:f>
              </x14:cfvo>
              <x14:cfvo type="num">
                <xm:f>3</xm:f>
              </x14:cfvo>
            </x14:iconSet>
          </x14:cfRule>
          <xm:sqref>S10:S22</xm:sqref>
        </x14:conditionalFormatting>
        <x14:conditionalFormatting xmlns:xm="http://schemas.microsoft.com/office/excel/2006/main">
          <x14:cfRule type="iconSet" priority="1" id="{A0234F20-5929-4AFB-8887-91F735BF5307}">
            <x14:iconSet iconSet="3Stars" showValue="0">
              <x14:cfvo type="percent">
                <xm:f>0</xm:f>
              </x14:cfvo>
              <x14:cfvo type="num">
                <xm:f>2</xm:f>
              </x14:cfvo>
              <x14:cfvo type="num">
                <xm:f>3</xm:f>
              </x14:cfvo>
            </x14:iconSet>
          </x14:cfRule>
          <xm:sqref>S23:S24</xm:sqref>
        </x14:conditionalFormatting>
        <x14:conditionalFormatting xmlns:xm="http://schemas.microsoft.com/office/excel/2006/main">
          <x14:cfRule type="dataBar" id="{7452A8E1-413B-4498-B52E-4853E3D8D287}">
            <x14:dataBar minLength="0" maxLength="100">
              <x14:cfvo type="autoMin"/>
              <x14:cfvo type="autoMax"/>
              <x14:negativeFillColor rgb="FFFF0000"/>
              <x14:axisColor rgb="FF000000"/>
            </x14:dataBar>
          </x14:cfRule>
          <xm:sqref>AC10:AC22</xm:sqref>
        </x14:conditionalFormatting>
        <x14:conditionalFormatting xmlns:xm="http://schemas.microsoft.com/office/excel/2006/main">
          <x14:cfRule type="dataBar" id="{BB25B772-E24A-4D6A-8ABB-DC107B6353EC}">
            <x14:dataBar minLength="0" maxLength="100">
              <x14:cfvo type="autoMin"/>
              <x14:cfvo type="autoMax"/>
              <x14:negativeFillColor rgb="FFFF0000"/>
              <x14:axisColor rgb="FF000000"/>
            </x14:dataBar>
          </x14:cfRule>
          <xm:sqref>AC23:AC24</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C359E-2DE5-4A7D-B039-0A362DBE692B}">
  <sheetPr codeName="Planilha6"/>
  <dimension ref="A1:AM29"/>
  <sheetViews>
    <sheetView showGridLines="0" zoomScale="40" zoomScaleNormal="40" workbookViewId="0">
      <pane xSplit="5" ySplit="9" topLeftCell="F10" activePane="bottomRight" state="frozen"/>
      <selection activeCell="C16" sqref="C16"/>
      <selection pane="topRight" activeCell="C16" sqref="C16"/>
      <selection pane="bottomLeft" activeCell="C16" sqref="C16"/>
      <selection pane="bottomRight" activeCell="D13" sqref="D13"/>
    </sheetView>
  </sheetViews>
  <sheetFormatPr defaultColWidth="0" defaultRowHeight="15" customHeight="1" zeroHeight="1" outlineLevelCol="1" x14ac:dyDescent="0.25"/>
  <cols>
    <col min="1" max="1" width="2.140625" customWidth="1"/>
    <col min="2" max="2" width="18" customWidth="1"/>
    <col min="3" max="3" width="6.5703125" customWidth="1"/>
    <col min="4" max="4" width="47.7109375" customWidth="1"/>
    <col min="5" max="5" width="9.42578125" customWidth="1"/>
    <col min="6" max="6" width="20.42578125" customWidth="1"/>
    <col min="7" max="7" width="11.140625" customWidth="1"/>
    <col min="8" max="11" width="5.85546875" customWidth="1" outlineLevel="1"/>
    <col min="12" max="12" width="20.5703125" customWidth="1"/>
    <col min="13" max="13" width="11.5703125" customWidth="1"/>
    <col min="14" max="14" width="10.85546875" customWidth="1"/>
    <col min="15" max="18" width="5.85546875" customWidth="1" outlineLevel="1"/>
    <col min="19" max="19" width="12.42578125" customWidth="1" outlineLevel="1"/>
    <col min="20" max="20" width="16.85546875" customWidth="1" outlineLevel="1"/>
    <col min="21" max="21" width="6.140625" bestFit="1" customWidth="1" outlineLevel="1"/>
    <col min="22" max="25" width="6.7109375" customWidth="1" outlineLevel="1"/>
    <col min="26" max="26" width="19.42578125" customWidth="1"/>
    <col min="27" max="27" width="19.140625" customWidth="1"/>
    <col min="28" max="28" width="12.140625" customWidth="1"/>
    <col min="29" max="29" width="11.5703125" customWidth="1"/>
    <col min="30" max="33" width="5.85546875" customWidth="1" outlineLevel="1"/>
    <col min="34" max="34" width="9.140625" customWidth="1"/>
    <col min="35" max="39" width="0" hidden="1" customWidth="1"/>
    <col min="40" max="16384" width="9.140625" hidden="1"/>
  </cols>
  <sheetData>
    <row r="1" spans="1:33"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33" ht="43.5" x14ac:dyDescent="0.35">
      <c r="B2" s="11"/>
      <c r="C2" s="11"/>
      <c r="D2" s="80" t="s">
        <v>0</v>
      </c>
      <c r="E2" s="80"/>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3" ht="43.5" x14ac:dyDescent="0.25">
      <c r="B3" s="10"/>
      <c r="C3" s="10"/>
      <c r="D3" s="81" t="s">
        <v>1</v>
      </c>
      <c r="E3" s="81"/>
      <c r="F3" s="296" t="s">
        <v>273</v>
      </c>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row>
    <row r="4" spans="1:33" ht="7.5" customHeight="1" x14ac:dyDescent="0.25"/>
    <row r="5" spans="1:33" ht="19.5" customHeight="1" x14ac:dyDescent="0.25">
      <c r="B5" s="237" t="s">
        <v>45</v>
      </c>
      <c r="C5" s="237"/>
      <c r="D5" s="237"/>
      <c r="F5" s="237" t="s">
        <v>46</v>
      </c>
      <c r="G5" s="237"/>
      <c r="H5" s="237"/>
      <c r="I5" s="237"/>
      <c r="J5" s="237"/>
      <c r="L5" s="237" t="s">
        <v>26</v>
      </c>
      <c r="M5" s="237"/>
      <c r="N5" s="64"/>
      <c r="O5" s="64"/>
      <c r="P5" s="64"/>
      <c r="Q5" s="64"/>
      <c r="R5" s="64"/>
      <c r="Z5" s="237" t="s">
        <v>47</v>
      </c>
      <c r="AA5" s="237"/>
      <c r="AB5" s="64"/>
      <c r="AC5" s="64"/>
      <c r="AD5" s="64"/>
      <c r="AE5" s="64"/>
      <c r="AF5" s="64"/>
    </row>
    <row r="6" spans="1:33" ht="11.25" customHeight="1" x14ac:dyDescent="0.25">
      <c r="U6" s="91">
        <v>6</v>
      </c>
      <c r="V6" s="91">
        <v>7</v>
      </c>
      <c r="W6" s="91">
        <v>8</v>
      </c>
      <c r="X6" s="91">
        <v>9</v>
      </c>
      <c r="Y6" s="91">
        <v>10</v>
      </c>
    </row>
    <row r="7" spans="1:33" ht="22.5" customHeight="1" x14ac:dyDescent="0.25">
      <c r="B7" s="239" t="s">
        <v>50</v>
      </c>
      <c r="C7" s="239" t="s">
        <v>51</v>
      </c>
      <c r="D7" s="239" t="s">
        <v>52</v>
      </c>
      <c r="E7" s="239" t="s">
        <v>53</v>
      </c>
      <c r="F7" s="240" t="s">
        <v>54</v>
      </c>
      <c r="G7" s="240" t="s">
        <v>55</v>
      </c>
      <c r="H7" s="241" t="s">
        <v>56</v>
      </c>
      <c r="I7" s="241" t="s">
        <v>57</v>
      </c>
      <c r="J7" s="241" t="s">
        <v>58</v>
      </c>
      <c r="K7" s="241" t="s">
        <v>59</v>
      </c>
      <c r="L7" s="238" t="s">
        <v>60</v>
      </c>
      <c r="M7" s="238" t="s">
        <v>61</v>
      </c>
      <c r="N7" s="238" t="s">
        <v>62</v>
      </c>
      <c r="O7" s="243" t="s">
        <v>56</v>
      </c>
      <c r="P7" s="243" t="s">
        <v>57</v>
      </c>
      <c r="Q7" s="243" t="s">
        <v>58</v>
      </c>
      <c r="R7" s="243" t="s">
        <v>59</v>
      </c>
      <c r="S7" s="244" t="s">
        <v>63</v>
      </c>
      <c r="T7" s="244" t="s">
        <v>64</v>
      </c>
      <c r="U7" s="242" t="s">
        <v>65</v>
      </c>
      <c r="V7" s="242" t="s">
        <v>66</v>
      </c>
      <c r="W7" s="242" t="s">
        <v>67</v>
      </c>
      <c r="X7" s="242" t="s">
        <v>68</v>
      </c>
      <c r="Y7" s="242" t="s">
        <v>69</v>
      </c>
      <c r="Z7" s="257" t="s">
        <v>70</v>
      </c>
      <c r="AA7" s="257" t="s">
        <v>71</v>
      </c>
      <c r="AB7" s="257" t="s">
        <v>72</v>
      </c>
      <c r="AC7" s="257" t="s">
        <v>73</v>
      </c>
      <c r="AD7" s="245" t="s">
        <v>56</v>
      </c>
      <c r="AE7" s="245" t="s">
        <v>57</v>
      </c>
      <c r="AF7" s="245" t="s">
        <v>58</v>
      </c>
      <c r="AG7" s="245" t="s">
        <v>59</v>
      </c>
    </row>
    <row r="8" spans="1:33" ht="15" customHeight="1" x14ac:dyDescent="0.25">
      <c r="B8" s="239"/>
      <c r="C8" s="239"/>
      <c r="D8" s="239"/>
      <c r="E8" s="239"/>
      <c r="F8" s="240"/>
      <c r="G8" s="240"/>
      <c r="H8" s="241"/>
      <c r="I8" s="241"/>
      <c r="J8" s="241"/>
      <c r="K8" s="241"/>
      <c r="L8" s="238"/>
      <c r="M8" s="238"/>
      <c r="N8" s="238"/>
      <c r="O8" s="243"/>
      <c r="P8" s="243"/>
      <c r="Q8" s="243"/>
      <c r="R8" s="243"/>
      <c r="S8" s="244"/>
      <c r="T8" s="244"/>
      <c r="U8" s="242"/>
      <c r="V8" s="242"/>
      <c r="W8" s="242"/>
      <c r="X8" s="242"/>
      <c r="Y8" s="242"/>
      <c r="Z8" s="257"/>
      <c r="AA8" s="257"/>
      <c r="AB8" s="257"/>
      <c r="AC8" s="257"/>
      <c r="AD8" s="245"/>
      <c r="AE8" s="245"/>
      <c r="AF8" s="245"/>
      <c r="AG8" s="245"/>
    </row>
    <row r="9" spans="1:33" ht="15" customHeight="1" x14ac:dyDescent="0.25">
      <c r="B9" s="119" t="s">
        <v>74</v>
      </c>
      <c r="C9" s="119" t="s">
        <v>51</v>
      </c>
      <c r="D9" s="119" t="s">
        <v>52</v>
      </c>
      <c r="E9" s="119" t="s">
        <v>53</v>
      </c>
      <c r="F9" s="120" t="s">
        <v>54</v>
      </c>
      <c r="G9" s="120" t="s">
        <v>75</v>
      </c>
      <c r="H9" s="121" t="s">
        <v>56</v>
      </c>
      <c r="I9" s="121" t="s">
        <v>57</v>
      </c>
      <c r="J9" s="121" t="s">
        <v>58</v>
      </c>
      <c r="K9" s="121" t="s">
        <v>59</v>
      </c>
      <c r="L9" s="122" t="s">
        <v>60</v>
      </c>
      <c r="M9" s="122" t="s">
        <v>76</v>
      </c>
      <c r="N9" s="122" t="s">
        <v>77</v>
      </c>
      <c r="O9" s="137" t="s">
        <v>56</v>
      </c>
      <c r="P9" s="137" t="s">
        <v>57</v>
      </c>
      <c r="Q9" s="137" t="s">
        <v>58</v>
      </c>
      <c r="R9" s="137" t="s">
        <v>59</v>
      </c>
      <c r="S9" s="138" t="s">
        <v>63</v>
      </c>
      <c r="T9" s="138" t="s">
        <v>64</v>
      </c>
      <c r="U9" s="139" t="s">
        <v>65</v>
      </c>
      <c r="V9" s="139" t="s">
        <v>66</v>
      </c>
      <c r="W9" s="139" t="s">
        <v>67</v>
      </c>
      <c r="X9" s="139" t="s">
        <v>68</v>
      </c>
      <c r="Y9" s="139" t="s">
        <v>69</v>
      </c>
      <c r="Z9" s="123" t="s">
        <v>70</v>
      </c>
      <c r="AA9" s="123" t="s">
        <v>71</v>
      </c>
      <c r="AB9" s="123" t="s">
        <v>72</v>
      </c>
      <c r="AC9" s="123" t="s">
        <v>73</v>
      </c>
      <c r="AD9" s="124" t="s">
        <v>56</v>
      </c>
      <c r="AE9" s="124" t="s">
        <v>57</v>
      </c>
      <c r="AF9" s="124" t="s">
        <v>58</v>
      </c>
      <c r="AG9" s="124" t="s">
        <v>59</v>
      </c>
    </row>
    <row r="10" spans="1:33" ht="47.25" customHeight="1" x14ac:dyDescent="0.25">
      <c r="B10" s="115" t="s">
        <v>124</v>
      </c>
      <c r="C10" s="160" t="s">
        <v>79</v>
      </c>
      <c r="D10" s="160" t="s">
        <v>160</v>
      </c>
      <c r="E10" s="72">
        <v>0.02</v>
      </c>
      <c r="F10" s="76" t="str">
        <f>'Mantenimiento 1'!$D$7</f>
        <v>Cumpre</v>
      </c>
      <c r="G10" s="88">
        <f t="shared" ref="G10:G19" si="0">IF($F10="Não cumpre",0,IF($F10="Parcial",$E10*0.4,IF($F10="Cumpre",$E10*0.7,IF($F10="Mais que cumpre",$E10*0.85,IF($F10="Melhor Prática",E10,0)))))</f>
        <v>1.3999999999999999E-2</v>
      </c>
      <c r="H10" s="103">
        <f>'Mantenimiento 1'!$F$7</f>
        <v>3</v>
      </c>
      <c r="I10" s="103">
        <f>'Mantenimiento 1'!$G$7</f>
        <v>3</v>
      </c>
      <c r="J10" s="103" t="str">
        <f>'Mantenimiento 1'!$H$7</f>
        <v/>
      </c>
      <c r="K10" s="103" t="str">
        <f>'Mantenimiento 1'!$I$7</f>
        <v/>
      </c>
      <c r="L10" s="76" t="str">
        <f>IF('Mantenimiento 1'!$D$10="","",'Mantenimiento 1'!$D$10)</f>
        <v>Cumpre</v>
      </c>
      <c r="M10" s="77">
        <f t="shared" ref="M10:M19" si="1">IF($L10="Não cumpre",0,IF($L10="Parcial",$E10*0.4,IF($L10="Cumpre",$E10*0.7,IF($L10="Mais que cumpre",$E10*0.85,IF($L10="Melhor Prática",E10,0)))))</f>
        <v>1.3999999999999999E-2</v>
      </c>
      <c r="N10" s="78">
        <f>IFERROR(G10/M10,"")</f>
        <v>1</v>
      </c>
      <c r="O10" s="103" t="str">
        <f>'Mantenimiento 1'!$F$10</f>
        <v>-</v>
      </c>
      <c r="P10" s="103" t="str">
        <f>'Mantenimiento 1'!$G$10</f>
        <v>-</v>
      </c>
      <c r="Q10" s="103" t="str">
        <f>'Mantenimiento 1'!$H$10</f>
        <v>-</v>
      </c>
      <c r="R10" s="103" t="str">
        <f>'Mantenimiento 1'!$I$10</f>
        <v>-</v>
      </c>
      <c r="S10" s="117">
        <f>IF('Mantenimiento 1'!$M$10="","",'Mantenimiento 1'!$M$10)</f>
        <v>1</v>
      </c>
      <c r="T10" s="104" t="str">
        <f>IF('Mantenimiento 1'!$O$10="","",'Mantenimiento 1'!$O$10)</f>
        <v>No Planificado</v>
      </c>
      <c r="U10" s="95">
        <f>IF('Mantenimiento 1'!$Q$9&lt;=Estratégia!$U$6,0.5,0)+IF('Mantenimiento 1'!$S$9&gt;=Mantenimiento!$U$6,0.5,0)</f>
        <v>0.5</v>
      </c>
      <c r="V10" s="94">
        <f>IF('Mantenimiento 1'!$Q$9&lt;=Estratégia!$V$6,0.5,0)+IF('Mantenimiento 1'!$S$9&gt;=Estratégia!$V$6,0.5,0)</f>
        <v>0.5</v>
      </c>
      <c r="W10" s="94">
        <f>IF('Mantenimiento 1'!$Q$9&lt;=Estratégia!$W$6,0.5,0)+IF('Mantenimiento 1'!$S$9&gt;=Estratégia!$W$6,0.5,0)</f>
        <v>0.5</v>
      </c>
      <c r="X10" s="94">
        <f>IF('Mantenimiento 1'!$Q$9&lt;=Estratégia!$X$6,0.5,0)+IF('Mantenimiento 1'!$S$9&gt;=Estratégia!$X$6,0.5,0)</f>
        <v>0.5</v>
      </c>
      <c r="Y10" s="94">
        <f>IF('Mantenimiento 1'!$Q$9&lt;=Estratégia!$Y$6,0.5,0)+IF('Mantenimiento 1'!$S$9&gt;=Estratégia!$Y$6,0.5,0)</f>
        <v>0.5</v>
      </c>
      <c r="Z10" s="79" t="str">
        <f ca="1">IF(OR(AA10&lt;&gt;"",'Mantenimiento 1'!$D$15="No Planificado"),'Mantenimiento 1'!$D$15,IF(AND(AA10="",MONTH(TODAY())&gt;'Mantenimiento 1'!$S$9),"Retrasado","A Tiempo"))</f>
        <v>Finalizado</v>
      </c>
      <c r="AA10" s="76" t="str">
        <f>IF('Mantenimiento 1'!$D$12="","",'Mantenimiento 1'!$D$12)</f>
        <v>Mais que cumpre</v>
      </c>
      <c r="AB10" s="77">
        <f t="shared" ref="AB10:AB19" si="2">IF($AA10="Não cumpre",0,IF($AA10="Parcial",$E10*0.4,IF($AA10="Cumpre",$E10*0.7,IF($AA10="Mais que cumpre",$E10*0.85,IF($AA10="Melhor Prática",E10,0)))))</f>
        <v>1.7000000000000001E-2</v>
      </c>
      <c r="AC10" s="78">
        <f>IFERROR(AB10/M10,"")</f>
        <v>1.2142857142857144</v>
      </c>
      <c r="AD10" s="103">
        <f>'Mantenimiento 1'!$F$12</f>
        <v>3</v>
      </c>
      <c r="AE10" s="103">
        <f>'Mantenimiento 1'!$G$12</f>
        <v>3</v>
      </c>
      <c r="AF10" s="103">
        <f>'Mantenimiento 1'!$H$12</f>
        <v>3</v>
      </c>
      <c r="AG10" s="103" t="str">
        <f>'Mantenimiento 1'!$I$12</f>
        <v/>
      </c>
    </row>
    <row r="11" spans="1:33" ht="45.75" customHeight="1" x14ac:dyDescent="0.25">
      <c r="B11" s="115" t="s">
        <v>124</v>
      </c>
      <c r="C11" s="160" t="s">
        <v>81</v>
      </c>
      <c r="D11" s="160" t="s">
        <v>161</v>
      </c>
      <c r="E11" s="74">
        <v>2.5000000000000001E-2</v>
      </c>
      <c r="F11" s="76" t="str">
        <f>'Mantenimiento 2'!$D$7</f>
        <v/>
      </c>
      <c r="G11" s="88">
        <f t="shared" si="0"/>
        <v>0</v>
      </c>
      <c r="H11" s="103" t="str">
        <f>'Mantenimiento 2'!$F$7</f>
        <v/>
      </c>
      <c r="I11" s="103" t="str">
        <f>'Mantenimiento 2'!$G$7</f>
        <v/>
      </c>
      <c r="J11" s="103" t="str">
        <f>'Mantenimiento 2'!$H$7</f>
        <v/>
      </c>
      <c r="K11" s="103" t="str">
        <f>'Mantenimiento 2'!$I$7</f>
        <v/>
      </c>
      <c r="L11" s="76" t="str">
        <f>IF('Mantenimiento 2'!$D$10="","",'Mantenimiento 2'!$D$10)</f>
        <v>Cumpre</v>
      </c>
      <c r="M11" s="77">
        <f t="shared" si="1"/>
        <v>1.7499999999999998E-2</v>
      </c>
      <c r="N11" s="78">
        <f t="shared" ref="N11:N19" si="3">IFERROR(G11/M11,"")</f>
        <v>0</v>
      </c>
      <c r="O11" s="103" t="str">
        <f>'Mantenimiento 2'!$F$10</f>
        <v>-</v>
      </c>
      <c r="P11" s="103" t="str">
        <f>'Mantenimiento 2'!$G$10</f>
        <v>D</v>
      </c>
      <c r="Q11" s="103" t="str">
        <f>'Mantenimiento 2'!$H$10</f>
        <v>D</v>
      </c>
      <c r="R11" s="103" t="str">
        <f>'Mantenimiento 2'!$I$10</f>
        <v>D</v>
      </c>
      <c r="S11" s="118">
        <f>IF('Mantenimiento 2'!$M$10="","",'Mantenimiento 2'!$M$10)</f>
        <v>1</v>
      </c>
      <c r="T11" s="104" t="str">
        <f>IF('Mantenimiento 2'!$O$10="","",'Mantenimiento 2'!$O$10)</f>
        <v>Alta</v>
      </c>
      <c r="U11" s="95">
        <f>IF('Mantenimiento 2'!$Q$9&lt;=Estratégia!$U$6,0.5,0)+IF('Mantenimiento 2'!$S$9&gt;=Mantenimiento!$U$6,0.5,0)</f>
        <v>0.5</v>
      </c>
      <c r="V11" s="94">
        <f>IF('Mantenimiento 2'!$Q$9&lt;=Estratégia!$V$6,0.5,0)+IF('Mantenimiento 2'!$S$9&gt;=Estratégia!$V$6,0.5,0)</f>
        <v>0.5</v>
      </c>
      <c r="W11" s="94">
        <f>IF('Mantenimiento 2'!$Q$9&lt;=Estratégia!$W$6,0.5,0)+IF('Mantenimiento 2'!$S$9&gt;=Estratégia!$W$6,0.5,0)</f>
        <v>0.5</v>
      </c>
      <c r="X11" s="94">
        <f>IF('Mantenimiento 2'!$Q$9&lt;=Estratégia!$X$6,0.5,0)+IF('Mantenimiento 2'!$S$9&gt;=Estratégia!$X$6,0.5,0)</f>
        <v>0.5</v>
      </c>
      <c r="Y11" s="94">
        <f>IF('Mantenimiento 2'!$Q$9&lt;=Estratégia!$Y$6,0.5,0)+IF('Mantenimiento 2'!$S$9&gt;=Estratégia!$Y$6,0.5,0)</f>
        <v>0.5</v>
      </c>
      <c r="Z11" s="79" t="str">
        <f ca="1">IF(OR(AA11&lt;&gt;"",'Mantenimiento 2'!$D$15="No Planificado"),'Mantenimiento 2'!$D$15,IF(AND(AA11="",MONTH(TODAY())&gt;'Mantenimiento 2'!$S$9),"Retrasado","A Tiempo"))</f>
        <v>A Tiempo</v>
      </c>
      <c r="AA11" s="76" t="str">
        <f>IF('Mantenimiento 2'!$D$12="","",'Mantenimiento 2'!$D$12)</f>
        <v>Não cumpre</v>
      </c>
      <c r="AB11" s="77">
        <f t="shared" si="2"/>
        <v>0</v>
      </c>
      <c r="AC11" s="78">
        <f t="shared" ref="AC11:AC19" si="4">IFERROR(AB11/M11,"")</f>
        <v>0</v>
      </c>
      <c r="AD11" s="103">
        <f>'Mantenimiento 2'!$F$12</f>
        <v>1</v>
      </c>
      <c r="AE11" s="103">
        <f>'Mantenimiento 2'!$G$12</f>
        <v>1</v>
      </c>
      <c r="AF11" s="103" t="str">
        <f>'Mantenimiento 2'!$H$12</f>
        <v/>
      </c>
      <c r="AG11" s="103" t="str">
        <f>'Mantenimiento 2'!$I$12</f>
        <v/>
      </c>
    </row>
    <row r="12" spans="1:33" ht="45.75" customHeight="1" x14ac:dyDescent="0.25">
      <c r="B12" s="115" t="s">
        <v>124</v>
      </c>
      <c r="C12" s="160" t="s">
        <v>83</v>
      </c>
      <c r="D12" s="160" t="s">
        <v>162</v>
      </c>
      <c r="E12" s="72">
        <v>0.02</v>
      </c>
      <c r="F12" s="76" t="str">
        <f>'Mantenimiento 3'!$D$7</f>
        <v>Mais que cumpre</v>
      </c>
      <c r="G12" s="88">
        <f t="shared" si="0"/>
        <v>1.7000000000000001E-2</v>
      </c>
      <c r="H12" s="103">
        <f>'Mantenimiento 3'!$F$7</f>
        <v>3</v>
      </c>
      <c r="I12" s="103">
        <f>'Mantenimiento 3'!$G$7</f>
        <v>3</v>
      </c>
      <c r="J12" s="103">
        <f>'Mantenimiento 3'!$H$7</f>
        <v>3</v>
      </c>
      <c r="K12" s="103">
        <f>'Mantenimiento 3'!$I$7</f>
        <v>1</v>
      </c>
      <c r="L12" s="76" t="str">
        <f>IF('Mantenimiento 3'!$D$10="","",'Mantenimiento 3'!$D$10)</f>
        <v>Mais que Cumpre</v>
      </c>
      <c r="M12" s="77">
        <f t="shared" si="1"/>
        <v>1.7000000000000001E-2</v>
      </c>
      <c r="N12" s="78">
        <f t="shared" si="3"/>
        <v>1</v>
      </c>
      <c r="O12" s="103" t="str">
        <f>'Mantenimiento 3'!$F$10</f>
        <v>-</v>
      </c>
      <c r="P12" s="103" t="str">
        <f>'Mantenimiento 3'!$G$10</f>
        <v>-</v>
      </c>
      <c r="Q12" s="103" t="str">
        <f>'Mantenimiento 3'!$H$10</f>
        <v>-</v>
      </c>
      <c r="R12" s="103" t="str">
        <f>'Mantenimiento 3'!$I$10</f>
        <v>-</v>
      </c>
      <c r="S12" s="118">
        <f>IF('Mantenimiento 3'!$M$10="","",'Mantenimiento 3'!$M$10)</f>
        <v>1</v>
      </c>
      <c r="T12" s="104" t="str">
        <f>IF('Mantenimiento 3'!$O$10="","",'Mantenimiento 3'!$O$10)</f>
        <v>No Planificado</v>
      </c>
      <c r="U12" s="95">
        <f>IF('Mantenimiento 3'!$Q$9&lt;=Estratégia!$U$6,0.5,0)+IF('Mantenimiento 3'!$S$9&gt;=Mantenimiento!$U$6,0.5,0)</f>
        <v>0.5</v>
      </c>
      <c r="V12" s="94">
        <f>IF('Mantenimiento 3'!$Q$9&lt;=Estratégia!$V$6,0.5,0)+IF('Mantenimiento 3'!$S$9&gt;=Estratégia!$V$6,0.5,0)</f>
        <v>0.5</v>
      </c>
      <c r="W12" s="94">
        <f>IF('Mantenimiento 3'!$Q$9&lt;=Estratégia!$W$6,0.5,0)+IF('Mantenimiento 3'!$S$9&gt;=Estratégia!$W$6,0.5,0)</f>
        <v>0.5</v>
      </c>
      <c r="X12" s="94">
        <f>IF('Mantenimiento 3'!$Q$9&lt;=Estratégia!$X$6,0.5,0)+IF('Mantenimiento 3'!$S$9&gt;=Estratégia!$X$6,0.5,0)</f>
        <v>0.5</v>
      </c>
      <c r="Y12" s="94">
        <f>IF('Mantenimiento 3'!$Q$9&lt;=Estratégia!$Y$6,0.5,0)+IF('Mantenimiento 3'!$S$9&gt;=Estratégia!$Y$6,0.5,0)</f>
        <v>0.5</v>
      </c>
      <c r="Z12" s="79" t="str">
        <f ca="1">IF(OR(AA12&lt;&gt;"",'Mantenimiento 3'!$D$15="No Planificado"),'Mantenimiento 3'!$D$15,IF(AND(AA12="",MONTH(TODAY())&gt;'Mantenimiento 3'!$S$9),"Retrasado","A Tiempo"))</f>
        <v>A Tiempo</v>
      </c>
      <c r="AA12" s="76" t="str">
        <f>IF('Mantenimiento 3'!$D$12="","",'Mantenimiento 3'!$D$12)</f>
        <v/>
      </c>
      <c r="AB12" s="77">
        <f t="shared" si="2"/>
        <v>0</v>
      </c>
      <c r="AC12" s="78">
        <f t="shared" si="4"/>
        <v>0</v>
      </c>
      <c r="AD12" s="103" t="str">
        <f>'Mantenimiento 3'!$F$12</f>
        <v/>
      </c>
      <c r="AE12" s="103" t="str">
        <f>'Mantenimiento 3'!$G$12</f>
        <v/>
      </c>
      <c r="AF12" s="103" t="str">
        <f>'Mantenimiento 3'!$H$12</f>
        <v/>
      </c>
      <c r="AG12" s="103" t="str">
        <f>'Mantenimiento 3'!$I$12</f>
        <v/>
      </c>
    </row>
    <row r="13" spans="1:33" ht="45.75" customHeight="1" x14ac:dyDescent="0.25">
      <c r="B13" s="115" t="s">
        <v>124</v>
      </c>
      <c r="C13" s="160" t="s">
        <v>85</v>
      </c>
      <c r="D13" s="160" t="s">
        <v>163</v>
      </c>
      <c r="E13" s="74">
        <v>0.02</v>
      </c>
      <c r="F13" s="76" t="str">
        <f>'Mantenimiento 4'!$D$7</f>
        <v>Parcial</v>
      </c>
      <c r="G13" s="88">
        <f t="shared" si="0"/>
        <v>8.0000000000000002E-3</v>
      </c>
      <c r="H13" s="103">
        <f>'Mantenimiento 4'!$F$7</f>
        <v>3</v>
      </c>
      <c r="I13" s="103">
        <f>'Mantenimiento 4'!$G$7</f>
        <v>2</v>
      </c>
      <c r="J13" s="103" t="str">
        <f>'Mantenimiento 4'!$H$7</f>
        <v/>
      </c>
      <c r="K13" s="103" t="str">
        <f>'Mantenimiento 4'!$I$7</f>
        <v/>
      </c>
      <c r="L13" s="76" t="str">
        <f>IF('Mantenimiento 4'!$D$10="","",'Mantenimiento 4'!$D$10)</f>
        <v>Mais que Cumpre</v>
      </c>
      <c r="M13" s="77">
        <f t="shared" si="1"/>
        <v>1.7000000000000001E-2</v>
      </c>
      <c r="N13" s="78">
        <f t="shared" si="3"/>
        <v>0.47058823529411764</v>
      </c>
      <c r="O13" s="103" t="str">
        <f>'Mantenimiento 4'!$F$10</f>
        <v>-</v>
      </c>
      <c r="P13" s="103" t="str">
        <f>'Mantenimiento 4'!$G$10</f>
        <v>-</v>
      </c>
      <c r="Q13" s="103" t="str">
        <f>'Mantenimiento 4'!$H$10</f>
        <v>-</v>
      </c>
      <c r="R13" s="103" t="str">
        <f>'Mantenimiento 4'!$I$10</f>
        <v>-</v>
      </c>
      <c r="S13" s="118">
        <f>IF('Mantenimiento 4'!$M$10="","",'Mantenimiento 4'!$M$10)</f>
        <v>3</v>
      </c>
      <c r="T13" s="104" t="str">
        <f>IF('Mantenimiento 4'!$O$10="","",'Mantenimiento 4'!$O$10)</f>
        <v>Baja</v>
      </c>
      <c r="U13" s="95">
        <f>IF('Mantenimiento 4'!$Q$9&lt;=Estratégia!$U$6,0.5,0)+IF('Mantenimiento 4'!$S$9&gt;=Mantenimiento!$U$6,0.5,0)</f>
        <v>0.5</v>
      </c>
      <c r="V13" s="94">
        <f>IF('Mantenimiento 4'!$Q$9&lt;=Estratégia!$V$6,0.5,0)+IF('Mantenimiento 4'!$S$9&gt;=Estratégia!$V$6,0.5,0)</f>
        <v>0.5</v>
      </c>
      <c r="W13" s="94">
        <f>IF('Mantenimiento 4'!$Q$9&lt;=Estratégia!$W$6,0.5,0)+IF('Mantenimiento 4'!$S$9&gt;=Estratégia!$W$6,0.5,0)</f>
        <v>0.5</v>
      </c>
      <c r="X13" s="94">
        <f>IF('Mantenimiento 4'!$Q$9&lt;=Estratégia!$X$6,0.5,0)+IF('Mantenimiento 4'!$S$9&gt;=Estratégia!$X$6,0.5,0)</f>
        <v>0.5</v>
      </c>
      <c r="Y13" s="94">
        <f>IF('Mantenimiento 4'!$Q$9&lt;=Estratégia!$Y$6,0.5,0)+IF('Mantenimiento 4'!$S$9&gt;=Estratégia!$Y$6,0.5,0)</f>
        <v>0.5</v>
      </c>
      <c r="Z13" s="79" t="str">
        <f ca="1">IF(OR(AA13&lt;&gt;"",'Mantenimiento 4'!$D$15="No Planificado"),'Mantenimiento 4'!$D$15,IF(AND(AA13="",MONTH(TODAY())&gt;'Mantenimiento 4'!$S$9),"Retrasado","A Tiempo"))</f>
        <v>Finalizado</v>
      </c>
      <c r="AA13" s="76" t="str">
        <f>IF('Mantenimiento 4'!$D$12="","",'Mantenimiento 4'!$D$12)</f>
        <v>Mais que cumpre</v>
      </c>
      <c r="AB13" s="77">
        <f t="shared" si="2"/>
        <v>1.7000000000000001E-2</v>
      </c>
      <c r="AC13" s="78">
        <f t="shared" si="4"/>
        <v>1</v>
      </c>
      <c r="AD13" s="103">
        <f>'Mantenimiento 4'!$F$12</f>
        <v>3</v>
      </c>
      <c r="AE13" s="103">
        <f>'Mantenimiento 4'!$G$12</f>
        <v>3</v>
      </c>
      <c r="AF13" s="103">
        <f>'Mantenimiento 4'!$H$12</f>
        <v>3</v>
      </c>
      <c r="AG13" s="103" t="str">
        <f>'Mantenimiento 4'!$I$12</f>
        <v/>
      </c>
    </row>
    <row r="14" spans="1:33" ht="45.75" customHeight="1" x14ac:dyDescent="0.25">
      <c r="B14" s="115" t="s">
        <v>164</v>
      </c>
      <c r="C14" s="160" t="s">
        <v>88</v>
      </c>
      <c r="D14" s="160" t="s">
        <v>165</v>
      </c>
      <c r="E14" s="72">
        <v>0.02</v>
      </c>
      <c r="F14" s="76" t="str">
        <f>'Mantenimiento 5'!$D$7</f>
        <v>Parcial</v>
      </c>
      <c r="G14" s="88">
        <f t="shared" si="0"/>
        <v>8.0000000000000002E-3</v>
      </c>
      <c r="H14" s="103">
        <f>'Mantenimiento 5'!$F$7</f>
        <v>3</v>
      </c>
      <c r="I14" s="103" t="str">
        <f>'Mantenimiento 5'!$G$7</f>
        <v/>
      </c>
      <c r="J14" s="103" t="str">
        <f>'Mantenimiento 5'!$H$7</f>
        <v/>
      </c>
      <c r="K14" s="103" t="str">
        <f>'Mantenimiento 5'!$I$7</f>
        <v/>
      </c>
      <c r="L14" s="76" t="str">
        <f>IF('Mantenimiento 5'!$D$10="","",'Mantenimiento 5'!$D$10)</f>
        <v>Parcial</v>
      </c>
      <c r="M14" s="77">
        <f t="shared" si="1"/>
        <v>8.0000000000000002E-3</v>
      </c>
      <c r="N14" s="78">
        <f t="shared" si="3"/>
        <v>1</v>
      </c>
      <c r="O14" s="103" t="str">
        <f>'Mantenimiento 5'!$F$10</f>
        <v>-</v>
      </c>
      <c r="P14" s="103" t="str">
        <f>'Mantenimiento 5'!$G$10</f>
        <v>D</v>
      </c>
      <c r="Q14" s="103" t="str">
        <f>'Mantenimiento 5'!$H$10</f>
        <v>D</v>
      </c>
      <c r="R14" s="103" t="str">
        <f>'Mantenimiento 5'!$I$10</f>
        <v>-</v>
      </c>
      <c r="S14" s="118">
        <f>IF('Mantenimiento 5'!$M$10="","",'Mantenimiento 5'!$M$10)</f>
        <v>1</v>
      </c>
      <c r="T14" s="104" t="str">
        <f>IF('Mantenimiento 5'!$O$10="","",'Mantenimiento 5'!$O$10)</f>
        <v>No Planificado</v>
      </c>
      <c r="U14" s="95">
        <f>IF('Mantenimiento 5'!$Q$9&lt;=Estratégia!$U$6,0.5,0)+IF('Mantenimiento 5'!$S$9&gt;=Mantenimiento!$U$6,0.5,0)</f>
        <v>0.5</v>
      </c>
      <c r="V14" s="94">
        <f>IF('Mantenimiento 5'!$Q$9&lt;=Estratégia!$V$6,0.5,0)+IF('Mantenimiento 5'!$S$9&gt;=Estratégia!$V$6,0.5,0)</f>
        <v>0.5</v>
      </c>
      <c r="W14" s="94">
        <f>IF('Mantenimiento 5'!$Q$9&lt;=Estratégia!$W$6,0.5,0)+IF('Mantenimiento 5'!$S$9&gt;=Estratégia!$W$6,0.5,0)</f>
        <v>0.5</v>
      </c>
      <c r="X14" s="94">
        <f>IF('Mantenimiento 5'!$Q$9&lt;=Estratégia!$X$6,0.5,0)+IF('Mantenimiento 5'!$S$9&gt;=Estratégia!$X$6,0.5,0)</f>
        <v>0.5</v>
      </c>
      <c r="Y14" s="94">
        <f>IF('Mantenimiento 5'!$Q$9&lt;=Estratégia!$Y$6,0.5,0)+IF('Mantenimiento 5'!$S$9&gt;=Estratégia!$Y$6,0.5,0)</f>
        <v>0.5</v>
      </c>
      <c r="Z14" s="79" t="str">
        <f ca="1">IF(OR(AA14&lt;&gt;"",'Mantenimiento 5'!$D$15="No Planificado"),'Mantenimiento 5'!$D$15,IF(AND(AA14="",MONTH(TODAY())&gt;'Mantenimiento 5'!$S$9),"Retrasado","A Tiempo"))</f>
        <v>A Tiempo</v>
      </c>
      <c r="AA14" s="76" t="str">
        <f>IF('Mantenimiento 5'!$D$12="","",'Mantenimiento 5'!$D$12)</f>
        <v/>
      </c>
      <c r="AB14" s="77">
        <f t="shared" si="2"/>
        <v>0</v>
      </c>
      <c r="AC14" s="78">
        <f t="shared" si="4"/>
        <v>0</v>
      </c>
      <c r="AD14" s="103" t="str">
        <f>'Mantenimiento 5'!$F$12</f>
        <v/>
      </c>
      <c r="AE14" s="103" t="str">
        <f>'Mantenimiento 5'!$G$12</f>
        <v/>
      </c>
      <c r="AF14" s="103" t="str">
        <f>'Mantenimiento 5'!$H$12</f>
        <v/>
      </c>
      <c r="AG14" s="103" t="str">
        <f>'Mantenimiento 5'!$I$12</f>
        <v/>
      </c>
    </row>
    <row r="15" spans="1:33" ht="45.75" customHeight="1" x14ac:dyDescent="0.25">
      <c r="B15" s="115" t="s">
        <v>164</v>
      </c>
      <c r="C15" s="160" t="s">
        <v>90</v>
      </c>
      <c r="D15" s="160" t="s">
        <v>166</v>
      </c>
      <c r="E15" s="72">
        <v>0.02</v>
      </c>
      <c r="F15" s="76" t="str">
        <f>'Mantenimiento 6'!$D$7</f>
        <v>Mais que cumpre</v>
      </c>
      <c r="G15" s="88">
        <f t="shared" si="0"/>
        <v>1.7000000000000001E-2</v>
      </c>
      <c r="H15" s="103">
        <f>'Mantenimiento 6'!$F$7</f>
        <v>3</v>
      </c>
      <c r="I15" s="103">
        <f>'Mantenimiento 6'!$G$7</f>
        <v>3</v>
      </c>
      <c r="J15" s="103">
        <f>'Mantenimiento 6'!$H$7</f>
        <v>3</v>
      </c>
      <c r="K15" s="103">
        <f>'Mantenimiento 6'!$I$7</f>
        <v>1</v>
      </c>
      <c r="L15" s="76" t="str">
        <f>IF('Mantenimiento 6'!$D$10="","",'Mantenimiento 6'!$D$10)</f>
        <v>Melhor Prática</v>
      </c>
      <c r="M15" s="77">
        <f t="shared" si="1"/>
        <v>0.02</v>
      </c>
      <c r="N15" s="78">
        <f t="shared" si="3"/>
        <v>0.85000000000000009</v>
      </c>
      <c r="O15" s="103" t="str">
        <f>'Mantenimiento 6'!$F$10</f>
        <v>-</v>
      </c>
      <c r="P15" s="103" t="str">
        <f>'Mantenimiento 6'!$G$10</f>
        <v>D</v>
      </c>
      <c r="Q15" s="103" t="str">
        <f>'Mantenimiento 6'!$H$10</f>
        <v>D</v>
      </c>
      <c r="R15" s="103" t="str">
        <f>'Mantenimiento 6'!$I$10</f>
        <v>D</v>
      </c>
      <c r="S15" s="118">
        <f>IF('Mantenimiento 6'!$M$10="","",'Mantenimiento 6'!$M$10)</f>
        <v>3</v>
      </c>
      <c r="T15" s="104" t="str">
        <f>IF('Mantenimiento 6'!$O$10="","",'Mantenimiento 6'!$O$10)</f>
        <v>Baja</v>
      </c>
      <c r="U15" s="95">
        <f>IF('Mantenimiento 6'!$Q$9&lt;=Estratégia!$U$6,0.5,0)+IF('Mantenimiento 6'!$S$9&gt;=Mantenimiento!$U$6,0.5,0)</f>
        <v>0.5</v>
      </c>
      <c r="V15" s="94">
        <f>IF('Mantenimiento 6'!$Q$9&lt;=Estratégia!$V$6,0.5,0)+IF('Mantenimiento 6'!$S$9&gt;=Estratégia!$V$6,0.5,0)</f>
        <v>0.5</v>
      </c>
      <c r="W15" s="94">
        <f>IF('Mantenimiento 6'!$Q$9&lt;=Estratégia!$W$6,0.5,0)+IF('Mantenimiento 6'!$S$9&gt;=Estratégia!$W$6,0.5,0)</f>
        <v>0.5</v>
      </c>
      <c r="X15" s="94">
        <f>IF('Mantenimiento 6'!$Q$9&lt;=Estratégia!$X$6,0.5,0)+IF('Mantenimiento 6'!$S$9&gt;=Estratégia!$X$6,0.5,0)</f>
        <v>0.5</v>
      </c>
      <c r="Y15" s="94">
        <f>IF('Mantenimiento 6'!$Q$9&lt;=Estratégia!$Y$6,0.5,0)+IF('Mantenimiento 6'!$S$9&gt;=Estratégia!$Y$6,0.5,0)</f>
        <v>0.5</v>
      </c>
      <c r="Z15" s="79" t="str">
        <f ca="1">IF(OR(AA15&lt;&gt;"",'Mantenimiento 6'!$D$15="No Planificado"),'Mantenimiento 6'!$D$15,IF(AND(AA15="",MONTH(TODAY())&gt;'Mantenimiento 6'!$S$9),"Retrasado","A Tiempo"))</f>
        <v>Retrasado</v>
      </c>
      <c r="AA15" s="76" t="str">
        <f>IF('Mantenimiento 6'!$D$12="","",'Mantenimiento 6'!$D$12)</f>
        <v>Melhor Prática</v>
      </c>
      <c r="AB15" s="77">
        <f t="shared" si="2"/>
        <v>0.02</v>
      </c>
      <c r="AC15" s="78">
        <f t="shared" si="4"/>
        <v>1</v>
      </c>
      <c r="AD15" s="103">
        <f>'Mantenimiento 6'!$F$12</f>
        <v>3</v>
      </c>
      <c r="AE15" s="103">
        <f>'Mantenimiento 6'!$G$12</f>
        <v>3</v>
      </c>
      <c r="AF15" s="103">
        <f>'Mantenimiento 6'!$H$12</f>
        <v>3</v>
      </c>
      <c r="AG15" s="103">
        <f>'Mantenimiento 6'!$I$12</f>
        <v>3</v>
      </c>
    </row>
    <row r="16" spans="1:33" ht="45.75" customHeight="1" x14ac:dyDescent="0.25">
      <c r="B16" s="115" t="s">
        <v>167</v>
      </c>
      <c r="C16" s="160" t="s">
        <v>93</v>
      </c>
      <c r="D16" s="160" t="s">
        <v>168</v>
      </c>
      <c r="E16" s="72">
        <v>2.5000000000000001E-2</v>
      </c>
      <c r="F16" s="76" t="str">
        <f>'Mantenimiento 7'!$D$7</f>
        <v>Não cumpre</v>
      </c>
      <c r="G16" s="88">
        <f t="shared" si="0"/>
        <v>0</v>
      </c>
      <c r="H16" s="103">
        <f>'Mantenimiento 7'!$F$7</f>
        <v>1</v>
      </c>
      <c r="I16" s="103" t="str">
        <f>'Mantenimiento 7'!$G$7</f>
        <v/>
      </c>
      <c r="J16" s="103" t="str">
        <f>'Mantenimiento 7'!$H$7</f>
        <v/>
      </c>
      <c r="K16" s="103" t="str">
        <f>'Mantenimiento 7'!$I$7</f>
        <v/>
      </c>
      <c r="L16" s="76" t="str">
        <f>IF('Mantenimiento 7'!$D$10="","",'Mantenimiento 7'!$D$10)</f>
        <v>Parcial</v>
      </c>
      <c r="M16" s="77">
        <f t="shared" si="1"/>
        <v>1.0000000000000002E-2</v>
      </c>
      <c r="N16" s="78">
        <f t="shared" si="3"/>
        <v>0</v>
      </c>
      <c r="O16" s="103" t="str">
        <f>'Mantenimiento 7'!$F$10</f>
        <v>D</v>
      </c>
      <c r="P16" s="103" t="str">
        <f>'Mantenimiento 7'!$G$10</f>
        <v>D</v>
      </c>
      <c r="Q16" s="103" t="str">
        <f>'Mantenimiento 7'!$H$10</f>
        <v>D</v>
      </c>
      <c r="R16" s="103" t="str">
        <f>'Mantenimiento 7'!$I$10</f>
        <v>D</v>
      </c>
      <c r="S16" s="118">
        <f>IF('Mantenimiento 7'!$M$10="","",'Mantenimiento 7'!$M$10)</f>
        <v>3</v>
      </c>
      <c r="T16" s="104" t="str">
        <f>IF('Mantenimiento 7'!$O$10="","",'Mantenimiento 7'!$O$10)</f>
        <v>Baja</v>
      </c>
      <c r="U16" s="95">
        <f>IF('Mantenimiento 7'!$Q$9&lt;=Estratégia!$U$6,0.5,0)+IF('Mantenimiento 7'!$S$9&gt;=Mantenimiento!$U$6,0.5,0)</f>
        <v>0.5</v>
      </c>
      <c r="V16" s="94">
        <f>IF('Mantenimiento 7'!$Q$9&lt;=Estratégia!$V$6,0.5,0)+IF('Mantenimiento 7'!$S$9&gt;=Estratégia!$V$6,0.5,0)</f>
        <v>0.5</v>
      </c>
      <c r="W16" s="94">
        <f>IF('Mantenimiento 7'!$Q$9&lt;=Estratégia!$W$6,0.5,0)+IF('Mantenimiento 7'!$S$9&gt;=Estratégia!$W$6,0.5,0)</f>
        <v>0.5</v>
      </c>
      <c r="X16" s="94">
        <f>IF('Mantenimiento 7'!$Q$9&lt;=Estratégia!$X$6,0.5,0)+IF('Mantenimiento 7'!$S$9&gt;=Estratégia!$X$6,0.5,0)</f>
        <v>0.5</v>
      </c>
      <c r="Y16" s="94">
        <f>IF('Mantenimiento 7'!$Q$9&lt;=Estratégia!$Y$6,0.5,0)+IF('Mantenimiento 7'!$S$9&gt;=Estratégia!$Y$6,0.5,0)</f>
        <v>0.5</v>
      </c>
      <c r="Z16" s="79" t="str">
        <f ca="1">IF(OR(AA16&lt;&gt;"",'Mantenimiento 7'!$D$15="No Planificado"),'Mantenimiento 7'!$D$15,IF(AND(AA16="",MONTH(TODAY())&gt;'Mantenimiento 7'!$S$9),"Retrasado","A Tiempo"))</f>
        <v>Retrasado</v>
      </c>
      <c r="AA16" s="76" t="str">
        <f>IF('Mantenimiento 7'!$D$12="","",'Mantenimiento 7'!$D$12)</f>
        <v>Mais que cumpre</v>
      </c>
      <c r="AB16" s="77">
        <f t="shared" si="2"/>
        <v>2.1250000000000002E-2</v>
      </c>
      <c r="AC16" s="78">
        <f t="shared" si="4"/>
        <v>2.1249999999999996</v>
      </c>
      <c r="AD16" s="103">
        <f>'Mantenimiento 7'!$F$12</f>
        <v>3</v>
      </c>
      <c r="AE16" s="103">
        <f>'Mantenimiento 7'!$G$12</f>
        <v>3</v>
      </c>
      <c r="AF16" s="103">
        <f>'Mantenimiento 7'!$H$12</f>
        <v>3</v>
      </c>
      <c r="AG16" s="103" t="str">
        <f>'Mantenimiento 7'!$I$12</f>
        <v/>
      </c>
    </row>
    <row r="17" spans="2:33" ht="45.75" customHeight="1" x14ac:dyDescent="0.25">
      <c r="B17" s="115" t="s">
        <v>118</v>
      </c>
      <c r="C17" s="160" t="s">
        <v>95</v>
      </c>
      <c r="D17" s="160" t="s">
        <v>170</v>
      </c>
      <c r="E17" s="74">
        <v>0.02</v>
      </c>
      <c r="F17" s="76" t="str">
        <f>'Mantenimiento 8'!$D$7</f>
        <v>Mais que cumpre</v>
      </c>
      <c r="G17" s="88">
        <f t="shared" si="0"/>
        <v>1.7000000000000001E-2</v>
      </c>
      <c r="H17" s="103">
        <f>'Mantenimiento 8'!$F$7</f>
        <v>3</v>
      </c>
      <c r="I17" s="103">
        <f>'Mantenimiento 8'!$G$7</f>
        <v>3</v>
      </c>
      <c r="J17" s="103">
        <f>'Mantenimiento 8'!$H$7</f>
        <v>3</v>
      </c>
      <c r="K17" s="103">
        <f>'Mantenimiento 8'!$I$7</f>
        <v>1</v>
      </c>
      <c r="L17" s="76" t="str">
        <f>IF('Mantenimiento 8'!$D$10="","",'Mantenimiento 8'!$D$10)</f>
        <v>Mais que Cumpre</v>
      </c>
      <c r="M17" s="77">
        <f t="shared" si="1"/>
        <v>1.7000000000000001E-2</v>
      </c>
      <c r="N17" s="78">
        <f t="shared" si="3"/>
        <v>1</v>
      </c>
      <c r="O17" s="103" t="str">
        <f>'Mantenimiento 8'!$F$10</f>
        <v>-</v>
      </c>
      <c r="P17" s="103" t="str">
        <f>'Mantenimiento 8'!$G$10</f>
        <v>D</v>
      </c>
      <c r="Q17" s="103" t="str">
        <f>'Mantenimiento 8'!$H$10</f>
        <v>D</v>
      </c>
      <c r="R17" s="103" t="str">
        <f>'Mantenimiento 8'!$I$10</f>
        <v>D</v>
      </c>
      <c r="S17" s="118">
        <f>IF('Mantenimiento 8'!$M$10="","",'Mantenimiento 8'!$M$10)</f>
        <v>3</v>
      </c>
      <c r="T17" s="104" t="str">
        <f>IF('Mantenimiento 8'!$O$10="","",'Mantenimiento 8'!$O$10)</f>
        <v>Baja</v>
      </c>
      <c r="U17" s="95">
        <f>IF('Mantenimiento 8'!$Q$9&lt;=Estratégia!$U$6,0.5,0)+IF('Mantenimiento 8'!$S$9&gt;=Mantenimiento!$U$6,0.5,0)</f>
        <v>0.5</v>
      </c>
      <c r="V17" s="94">
        <f>IF('Mantenimiento 8'!$Q$9&lt;=Estratégia!$V$6,0.5,0)+IF('Mantenimiento 8'!$S$9&gt;=Estratégia!$V$6,0.5,0)</f>
        <v>0.5</v>
      </c>
      <c r="W17" s="94">
        <f>IF('Mantenimiento 8'!$Q$9&lt;=Estratégia!$W$6,0.5,0)+IF('Mantenimiento 8'!$S$9&gt;=Estratégia!$W$6,0.5,0)</f>
        <v>0.5</v>
      </c>
      <c r="X17" s="94">
        <f>IF('Mantenimiento 8'!$Q$9&lt;=Estratégia!$X$6,0.5,0)+IF('Mantenimiento 8'!$S$9&gt;=Estratégia!$X$6,0.5,0)</f>
        <v>0.5</v>
      </c>
      <c r="Y17" s="94">
        <f>IF('Mantenimiento 8'!$Q$9&lt;=Estratégia!$Y$6,0.5,0)+IF('Mantenimiento 8'!$S$9&gt;=Estratégia!$Y$6,0.5,0)</f>
        <v>0.5</v>
      </c>
      <c r="Z17" s="79" t="str">
        <f ca="1">IF(OR(AA17&lt;&gt;"",'Mantenimiento 8'!$D$15="No Planificado"),'Mantenimiento 8'!$D$15,IF(AND(AA17="",MONTH(TODAY())&gt;'Mantenimiento 8'!$S$9),"Retrasado","A Tiempo"))</f>
        <v>A Tiempo</v>
      </c>
      <c r="AA17" s="76" t="str">
        <f>IF('Mantenimiento 8'!$D$12="","",'Mantenimiento 8'!$D$12)</f>
        <v>Mais que cumpre</v>
      </c>
      <c r="AB17" s="77">
        <f t="shared" si="2"/>
        <v>1.7000000000000001E-2</v>
      </c>
      <c r="AC17" s="78">
        <f t="shared" si="4"/>
        <v>1</v>
      </c>
      <c r="AD17" s="103">
        <f>'Mantenimiento 8'!$F$12</f>
        <v>3</v>
      </c>
      <c r="AE17" s="103">
        <f>'Mantenimiento 8'!$G$12</f>
        <v>3</v>
      </c>
      <c r="AF17" s="103">
        <f>'Mantenimiento 8'!$H$12</f>
        <v>3</v>
      </c>
      <c r="AG17" s="103" t="str">
        <f>'Mantenimiento 8'!$I$12</f>
        <v/>
      </c>
    </row>
    <row r="18" spans="2:33" ht="45.75" customHeight="1" x14ac:dyDescent="0.25">
      <c r="B18" s="115" t="s">
        <v>99</v>
      </c>
      <c r="C18" s="160" t="s">
        <v>97</v>
      </c>
      <c r="D18" s="160" t="s">
        <v>171</v>
      </c>
      <c r="E18" s="72">
        <v>1.4999999999999999E-2</v>
      </c>
      <c r="F18" s="76" t="str">
        <f>'Mantenimiento 9'!$D$7</f>
        <v>Parcial</v>
      </c>
      <c r="G18" s="88">
        <f t="shared" si="0"/>
        <v>6.0000000000000001E-3</v>
      </c>
      <c r="H18" s="103">
        <f>'Mantenimiento 9'!$F$7</f>
        <v>3</v>
      </c>
      <c r="I18" s="103">
        <f>'Mantenimiento 9'!$G$7</f>
        <v>1</v>
      </c>
      <c r="J18" s="103" t="str">
        <f>'Mantenimiento 9'!$H$7</f>
        <v/>
      </c>
      <c r="K18" s="103" t="str">
        <f>'Mantenimiento 9'!$I$7</f>
        <v/>
      </c>
      <c r="L18" s="76" t="str">
        <f>IF('Mantenimiento 9'!$D$10="","",'Mantenimiento 9'!$D$10)</f>
        <v>Parcial</v>
      </c>
      <c r="M18" s="77">
        <f t="shared" si="1"/>
        <v>6.0000000000000001E-3</v>
      </c>
      <c r="N18" s="78">
        <f t="shared" si="3"/>
        <v>1</v>
      </c>
      <c r="O18" s="103" t="str">
        <f>'Mantenimiento 9'!$F$10</f>
        <v>-</v>
      </c>
      <c r="P18" s="103" t="str">
        <f>'Mantenimiento 9'!$G$10</f>
        <v>-</v>
      </c>
      <c r="Q18" s="103" t="str">
        <f>'Mantenimiento 9'!$H$10</f>
        <v>-</v>
      </c>
      <c r="R18" s="103" t="str">
        <f>'Mantenimiento 9'!$I$10</f>
        <v>-</v>
      </c>
      <c r="S18" s="118">
        <f>IF('Mantenimiento 9'!$M$10="","",'Mantenimiento 9'!$M$10)</f>
        <v>1</v>
      </c>
      <c r="T18" s="104" t="str">
        <f>IF('Mantenimiento 9'!$O$10="","",'Mantenimiento 9'!$O$10)</f>
        <v>No Planificado</v>
      </c>
      <c r="U18" s="95">
        <f>IF('Mantenimiento 9'!$Q$9&lt;=Estratégia!$U$6,0.5,0)+IF('Mantenimiento 9'!$S$9&gt;=Mantenimiento!$U$6,0.5,0)</f>
        <v>0.5</v>
      </c>
      <c r="V18" s="94">
        <f>IF('Mantenimiento 9'!$Q$9&lt;=Estratégia!$V$6,0.5,0)+IF('Mantenimiento 9'!$S$9&gt;=Estratégia!$V$6,0.5,0)</f>
        <v>0.5</v>
      </c>
      <c r="W18" s="94">
        <f>IF('Mantenimiento 9'!$Q$9&lt;=Estratégia!$W$6,0.5,0)+IF('Mantenimiento 9'!$S$9&gt;=Estratégia!$W$6,0.5,0)</f>
        <v>0.5</v>
      </c>
      <c r="X18" s="94">
        <f>IF('Mantenimiento 9'!$Q$9&lt;=Estratégia!$X$6,0.5,0)+IF('Mantenimiento 9'!$S$9&gt;=Estratégia!$X$6,0.5,0)</f>
        <v>0.5</v>
      </c>
      <c r="Y18" s="94">
        <f>IF('Mantenimiento 9'!$Q$9&lt;=Estratégia!$Y$6,0.5,0)+IF('Mantenimiento 9'!$S$9&gt;=Estratégia!$Y$6,0.5,0)</f>
        <v>0.5</v>
      </c>
      <c r="Z18" s="79" t="str">
        <f ca="1">IF(OR(AA18&lt;&gt;"",'Mantenimiento 9'!$D$15="No Planificado"),'Mantenimiento 9'!$D$15,IF(AND(AA18="",MONTH(TODAY())&gt;'Mantenimiento 9'!$S$9),"Retrasado","A Tiempo"))</f>
        <v>A Tiempo</v>
      </c>
      <c r="AA18" s="76" t="str">
        <f>IF('Mantenimiento 9'!$D$12="","",'Mantenimiento 9'!$D$12)</f>
        <v/>
      </c>
      <c r="AB18" s="77">
        <f t="shared" si="2"/>
        <v>0</v>
      </c>
      <c r="AC18" s="78">
        <f t="shared" si="4"/>
        <v>0</v>
      </c>
      <c r="AD18" s="103" t="str">
        <f>'Mantenimiento 9'!$F$12</f>
        <v/>
      </c>
      <c r="AE18" s="103" t="str">
        <f>'Mantenimiento 9'!$G$12</f>
        <v/>
      </c>
      <c r="AF18" s="103" t="str">
        <f>'Mantenimiento 9'!$H$12</f>
        <v/>
      </c>
      <c r="AG18" s="103" t="str">
        <f>'Mantenimiento 9'!$I$12</f>
        <v/>
      </c>
    </row>
    <row r="19" spans="2:33" ht="45.75" customHeight="1" x14ac:dyDescent="0.25">
      <c r="B19" s="115" t="s">
        <v>102</v>
      </c>
      <c r="C19" s="160" t="s">
        <v>100</v>
      </c>
      <c r="D19" s="160" t="s">
        <v>172</v>
      </c>
      <c r="E19" s="74">
        <v>1.4999999999999999E-2</v>
      </c>
      <c r="F19" s="76" t="str">
        <f>'Mantenimiento 10'!$D$7</f>
        <v>Não cumpre</v>
      </c>
      <c r="G19" s="88">
        <f t="shared" si="0"/>
        <v>0</v>
      </c>
      <c r="H19" s="103">
        <f>'Mantenimiento 10'!$F$7</f>
        <v>1</v>
      </c>
      <c r="I19" s="103" t="str">
        <f>'Mantenimiento 10'!$G$7</f>
        <v/>
      </c>
      <c r="J19" s="103" t="str">
        <f>'Mantenimiento 10'!$H$7</f>
        <v/>
      </c>
      <c r="K19" s="103" t="str">
        <f>'Mantenimiento 10'!$I$7</f>
        <v/>
      </c>
      <c r="L19" s="76" t="str">
        <f>IF('Mantenimiento 10'!$D$10="","",'Mantenimiento 10'!$D$10)</f>
        <v>Parcial</v>
      </c>
      <c r="M19" s="77">
        <f t="shared" si="1"/>
        <v>6.0000000000000001E-3</v>
      </c>
      <c r="N19" s="78">
        <f t="shared" si="3"/>
        <v>0</v>
      </c>
      <c r="O19" s="103" t="str">
        <f>'Mantenimiento 10'!$F$10</f>
        <v>D</v>
      </c>
      <c r="P19" s="103" t="str">
        <f>'Mantenimiento 10'!$G$10</f>
        <v>-</v>
      </c>
      <c r="Q19" s="103" t="str">
        <f>'Mantenimiento 10'!$H$10</f>
        <v>-</v>
      </c>
      <c r="R19" s="103" t="str">
        <f>'Mantenimiento 10'!$I$10</f>
        <v>-</v>
      </c>
      <c r="S19" s="118">
        <f>IF('Mantenimiento 10'!$M$10="","",'Mantenimiento 10'!$M$10)</f>
        <v>1</v>
      </c>
      <c r="T19" s="104" t="str">
        <f>IF('Mantenimiento 10'!$O$10="","",'Mantenimiento 10'!$O$10)</f>
        <v>Alta</v>
      </c>
      <c r="U19" s="95">
        <f>IF('Mantenimiento 10'!$Q$9&lt;=Estratégia!$U$6,0.5,0)+IF('Mantenimiento 10'!$S$9&gt;=Mantenimiento!$U$6,0.5,0)</f>
        <v>0.5</v>
      </c>
      <c r="V19" s="94">
        <f>IF('Mantenimiento 10'!$Q$9&lt;=Estratégia!$V$6,0.5,0)+IF('Mantenimiento 10'!$S$9&gt;=Estratégia!$V$6,0.5,0)</f>
        <v>0.5</v>
      </c>
      <c r="W19" s="94">
        <f>IF('Mantenimiento 10'!$Q$9&lt;=Estratégia!$W$6,0.5,0)+IF('Mantenimiento 10'!$S$9&gt;=Estratégia!$W$6,0.5,0)</f>
        <v>0.5</v>
      </c>
      <c r="X19" s="94">
        <f>IF('Mantenimiento 10'!$Q$9&lt;=Estratégia!$X$6,0.5,0)+IF('Mantenimiento 10'!$S$9&gt;=Estratégia!$X$6,0.5,0)</f>
        <v>0.5</v>
      </c>
      <c r="Y19" s="94">
        <f>IF('Mantenimiento 10'!$Q$9&lt;=Estratégia!$Y$6,0.5,0)+IF('Mantenimiento 10'!$S$9&gt;=Estratégia!$Y$6,0.5,0)</f>
        <v>0.5</v>
      </c>
      <c r="Z19" s="79" t="str">
        <f ca="1">IF(OR(AA19&lt;&gt;"",'Mantenimiento 10'!$D$15="No Planificado"),'Mantenimiento 10'!$D$15,IF(AND(AA19="",MONTH(TODAY())&gt;'Mantenimiento 10'!$S$9),"Retrasado","A Tiempo"))</f>
        <v>Retrasado</v>
      </c>
      <c r="AA19" s="76" t="str">
        <f>IF('Mantenimiento 10'!$D$12="","",'Mantenimiento 10'!$D$12)</f>
        <v>Cumpre</v>
      </c>
      <c r="AB19" s="77">
        <f t="shared" si="2"/>
        <v>1.0499999999999999E-2</v>
      </c>
      <c r="AC19" s="78">
        <f t="shared" si="4"/>
        <v>1.7499999999999998</v>
      </c>
      <c r="AD19" s="103">
        <f>'Mantenimiento 10'!$F$12</f>
        <v>3</v>
      </c>
      <c r="AE19" s="103">
        <f>'Mantenimiento 10'!$G$12</f>
        <v>3</v>
      </c>
      <c r="AF19" s="103" t="str">
        <f>'Mantenimiento 10'!$H$12</f>
        <v/>
      </c>
      <c r="AG19" s="103" t="str">
        <f>'Mantenimiento 10'!$I$12</f>
        <v/>
      </c>
    </row>
    <row r="20" spans="2:33" x14ac:dyDescent="0.25"/>
    <row r="21" spans="2:33" ht="11.25" customHeight="1" x14ac:dyDescent="0.25">
      <c r="B21" s="82"/>
      <c r="C21" s="246" t="s">
        <v>10</v>
      </c>
      <c r="D21" s="246"/>
      <c r="E21" s="247">
        <f>SUM(E10:E19)</f>
        <v>0.2</v>
      </c>
      <c r="F21" s="293"/>
      <c r="G21" s="250">
        <f>SUM(G10:G19)</f>
        <v>8.7000000000000008E-2</v>
      </c>
      <c r="H21" s="89"/>
      <c r="I21" s="89"/>
      <c r="J21" s="89"/>
      <c r="K21" s="89"/>
      <c r="L21" s="83"/>
      <c r="M21" s="252">
        <f>SUM(M10:M19)</f>
        <v>0.13250000000000001</v>
      </c>
      <c r="N21" s="254">
        <f>IFERROR(G21/M21,"")</f>
        <v>0.65660377358490574</v>
      </c>
      <c r="O21" s="90"/>
      <c r="P21" s="90"/>
      <c r="Q21" s="90"/>
      <c r="R21" s="90"/>
      <c r="S21" s="90"/>
      <c r="T21" s="90"/>
      <c r="U21" s="90"/>
      <c r="V21" s="90"/>
      <c r="W21" s="90"/>
      <c r="X21" s="90"/>
      <c r="Y21" s="90"/>
      <c r="Z21" s="84"/>
      <c r="AA21" s="85"/>
      <c r="AB21" s="256">
        <f>SUM(AB10:AB19)</f>
        <v>0.10275000000000001</v>
      </c>
      <c r="AC21" s="258">
        <f>IFERROR(M21/AB21,"")</f>
        <v>1.2895377128953771</v>
      </c>
      <c r="AD21" s="245"/>
      <c r="AE21" s="245"/>
      <c r="AF21" s="245"/>
      <c r="AG21" s="245"/>
    </row>
    <row r="22" spans="2:33" ht="24" x14ac:dyDescent="0.25">
      <c r="B22" s="82"/>
      <c r="C22" s="246"/>
      <c r="D22" s="246"/>
      <c r="E22" s="247"/>
      <c r="F22" s="294"/>
      <c r="G22" s="251"/>
      <c r="H22" s="89"/>
      <c r="I22" s="89"/>
      <c r="J22" s="89"/>
      <c r="K22" s="89"/>
      <c r="L22" s="86"/>
      <c r="M22" s="253"/>
      <c r="N22" s="255"/>
      <c r="O22" s="90"/>
      <c r="P22" s="90"/>
      <c r="Q22" s="90"/>
      <c r="R22" s="90"/>
      <c r="S22" s="90"/>
      <c r="T22" s="90"/>
      <c r="U22" s="90"/>
      <c r="V22" s="90"/>
      <c r="W22" s="90"/>
      <c r="X22" s="90"/>
      <c r="Y22" s="90"/>
      <c r="Z22" s="84"/>
      <c r="AA22" s="85"/>
      <c r="AB22" s="256"/>
      <c r="AC22" s="258"/>
      <c r="AD22" s="245"/>
      <c r="AE22" s="245"/>
      <c r="AF22" s="245"/>
      <c r="AG22" s="245"/>
    </row>
    <row r="23" spans="2:33" x14ac:dyDescent="0.25"/>
    <row r="24" spans="2:33" ht="15" customHeight="1" x14ac:dyDescent="0.25"/>
    <row r="25" spans="2:33" ht="15" customHeight="1" x14ac:dyDescent="0.25"/>
    <row r="26" spans="2:33" ht="15" customHeight="1" x14ac:dyDescent="0.25"/>
    <row r="27" spans="2:33" ht="15" customHeight="1" x14ac:dyDescent="0.25"/>
    <row r="28" spans="2:33" ht="15" customHeight="1" x14ac:dyDescent="0.25"/>
    <row r="29" spans="2:33" ht="15" customHeight="1" x14ac:dyDescent="0.25"/>
  </sheetData>
  <autoFilter ref="B9:AG9" xr:uid="{F3416D7B-8507-4AF1-AC12-A67AE73E163C}"/>
  <dataConsolidate/>
  <mergeCells count="49">
    <mergeCell ref="AC21:AC22"/>
    <mergeCell ref="AD21:AD22"/>
    <mergeCell ref="AE21:AE22"/>
    <mergeCell ref="AF21:AF22"/>
    <mergeCell ref="AG21:AG22"/>
    <mergeCell ref="AE7:AE8"/>
    <mergeCell ref="AF7:AF8"/>
    <mergeCell ref="AG7:AG8"/>
    <mergeCell ref="C21:D22"/>
    <mergeCell ref="E21:E22"/>
    <mergeCell ref="F21:F22"/>
    <mergeCell ref="G21:G22"/>
    <mergeCell ref="M21:M22"/>
    <mergeCell ref="N21:N22"/>
    <mergeCell ref="AB21:AB22"/>
    <mergeCell ref="Y7:Y8"/>
    <mergeCell ref="Z7:Z8"/>
    <mergeCell ref="AA7:AA8"/>
    <mergeCell ref="AB7:AB8"/>
    <mergeCell ref="AC7:AC8"/>
    <mergeCell ref="AD7:AD8"/>
    <mergeCell ref="X7:X8"/>
    <mergeCell ref="M7:M8"/>
    <mergeCell ref="N7:N8"/>
    <mergeCell ref="O7:O8"/>
    <mergeCell ref="P7:P8"/>
    <mergeCell ref="Q7:Q8"/>
    <mergeCell ref="R7:R8"/>
    <mergeCell ref="S7:S8"/>
    <mergeCell ref="T7:T8"/>
    <mergeCell ref="U7:U8"/>
    <mergeCell ref="V7:V8"/>
    <mergeCell ref="W7:W8"/>
    <mergeCell ref="L7:L8"/>
    <mergeCell ref="F3:AE3"/>
    <mergeCell ref="B5:D5"/>
    <mergeCell ref="F5:J5"/>
    <mergeCell ref="L5:M5"/>
    <mergeCell ref="Z5:AA5"/>
    <mergeCell ref="B7:B8"/>
    <mergeCell ref="C7:C8"/>
    <mergeCell ref="D7:D8"/>
    <mergeCell ref="E7:E8"/>
    <mergeCell ref="F7:F8"/>
    <mergeCell ref="G7:G8"/>
    <mergeCell ref="H7:H8"/>
    <mergeCell ref="I7:I8"/>
    <mergeCell ref="J7:J8"/>
    <mergeCell ref="K7:K8"/>
  </mergeCells>
  <conditionalFormatting sqref="H10:K19">
    <cfRule type="iconSet" priority="34">
      <iconSet showValue="0">
        <cfvo type="percent" val="0"/>
        <cfvo type="num" val="2"/>
        <cfvo type="num" val="3"/>
      </iconSet>
    </cfRule>
  </conditionalFormatting>
  <conditionalFormatting sqref="N10:N19">
    <cfRule type="dataBar" priority="32">
      <dataBar showValue="0">
        <cfvo type="min"/>
        <cfvo type="max"/>
        <color rgb="FF63C384"/>
      </dataBar>
      <extLst>
        <ext xmlns:x14="http://schemas.microsoft.com/office/spreadsheetml/2009/9/main" uri="{B025F937-C7B1-47D3-B67F-A62EFF666E3E}">
          <x14:id>{A0B12C88-D56B-4052-B129-047397836BC3}</x14:id>
        </ext>
      </extLst>
    </cfRule>
  </conditionalFormatting>
  <conditionalFormatting sqref="O10:R19">
    <cfRule type="iconSet" priority="36">
      <iconSet showValue="0">
        <cfvo type="percent" val="0"/>
        <cfvo type="num" val="2"/>
        <cfvo type="num" val="3"/>
      </iconSet>
    </cfRule>
  </conditionalFormatting>
  <conditionalFormatting sqref="U10:Y19">
    <cfRule type="cellIs" dxfId="1029" priority="2" operator="equal">
      <formula>2</formula>
    </cfRule>
    <cfRule type="cellIs" dxfId="1028" priority="3" operator="equal">
      <formula>1</formula>
    </cfRule>
    <cfRule type="cellIs" dxfId="1027" priority="4" operator="equal">
      <formula>0</formula>
    </cfRule>
  </conditionalFormatting>
  <conditionalFormatting sqref="AC10:AC19">
    <cfRule type="dataBar" priority="33">
      <dataBar showValue="0">
        <cfvo type="min"/>
        <cfvo type="max"/>
        <color theme="6" tint="0.39997558519241921"/>
      </dataBar>
      <extLst>
        <ext xmlns:x14="http://schemas.microsoft.com/office/spreadsheetml/2009/9/main" uri="{B025F937-C7B1-47D3-B67F-A62EFF666E3E}">
          <x14:id>{99755FB8-8543-4464-9588-F8E451219A6D}</x14:id>
        </ext>
      </extLst>
    </cfRule>
  </conditionalFormatting>
  <conditionalFormatting sqref="AD10:AG19">
    <cfRule type="iconSet" priority="35">
      <iconSet showValue="0">
        <cfvo type="percent" val="0"/>
        <cfvo type="num" val="2"/>
        <cfvo type="num" val="3"/>
      </iconSet>
    </cfRule>
  </conditionalFormatting>
  <hyperlinks>
    <hyperlink ref="C10" location="'Mantenimiento 1'!A1" display="1." xr:uid="{1722F0BB-7509-40C1-9AD2-E57664491C98}"/>
    <hyperlink ref="D10" location="'Mantenimiento 1'!A1" display="Procesamiento del pedido de mantenimiento" xr:uid="{670C2BCA-3B41-4E0A-876D-B54480D4F74B}"/>
    <hyperlink ref="C11" location="'Mantenimiento 2'!A1" display="2." xr:uid="{5CF3C396-2761-4425-9742-BF46E0F2E01A}"/>
    <hyperlink ref="D11" location="'Mantenimiento 2'!A1" display="Solución remota" xr:uid="{5E47F054-FC33-40E6-9485-B52F04E5FDEA}"/>
    <hyperlink ref="C12" location="'Mantenimiento 3'!A1" display="3." xr:uid="{A9CAEF81-62AA-4F4D-AACC-46B90028BB1B}"/>
    <hyperlink ref="D12" location="'Mantenimiento 3'!A1" display="Calidad de los servicios en el PDV" xr:uid="{75E04302-3D37-4A75-A871-93E305B272B1}"/>
    <hyperlink ref="C13" location="'Mantenimiento 4'!A1" display="4." xr:uid="{97ABB099-A9E3-44F0-845F-BFC7CB22CBCA}"/>
    <hyperlink ref="D13" location="'Mantenimiento 4'!A1" display="Calidad de los servicios en el taller" xr:uid="{B5170487-737F-499F-8280-E4287E43C565}"/>
    <hyperlink ref="C14" location="'Mantenimiento 5'!A1" display="5." xr:uid="{97E39414-ECAF-4FC1-ABE7-BDB8B134E045}"/>
    <hyperlink ref="D14" location="'Mantenimiento 5'!A1" display="Tracking de SLA de mantenimiento" xr:uid="{82D95B38-84AD-43B6-80C5-0E114710AB46}"/>
    <hyperlink ref="C15" location="'Mantenimiento 6'!A1" display="6." xr:uid="{ED590754-4F7B-45D5-8A45-20E8BB9B46DE}"/>
    <hyperlink ref="D15" location="'Mantenimiento 6'!A1" display="Análisis de motivos de mantenimiento" xr:uid="{EFA0A846-C025-4B32-AD0E-B3A3FAC4871E}"/>
    <hyperlink ref="C16" location="'Mantenimiento 7'!A1" display="7." xr:uid="{8FB63E2D-91F9-453A-A5F9-CC4AD6064AFC}"/>
    <hyperlink ref="D16" location="'Mantenimiento 7'!A1" display="Productividad y capacitación de los técnicos" xr:uid="{37A01911-89B7-4BD2-9DEF-0239D1556CAC}"/>
    <hyperlink ref="C17" location="'Mantenimiento 8'!A1" display="8." xr:uid="{B09907F7-71F5-479D-A41E-753C290A34B4}"/>
    <hyperlink ref="D17" location="'Mantenimiento 8'!A1" display="Mantenimiento de piezas de repuesto" xr:uid="{A80DA633-0333-4F9E-BCE9-77C1375B3E86}"/>
    <hyperlink ref="C18" location="'Mantenimiento 9'!A1" display="9." xr:uid="{AF0E7822-132C-41AB-8C0C-E4C60D7202B3}"/>
    <hyperlink ref="D18" location="'Mantenimiento 9'!A1" display="Gestión de garantía de los proveedores" xr:uid="{011CAFC5-6378-4C9A-A9F6-D15C147B95D6}"/>
    <hyperlink ref="C19" location="'Mantenimiento 10'!A1" display="10." xr:uid="{2277D07A-B89A-42EE-B6D0-1C8D6E12BEC5}"/>
    <hyperlink ref="D19" location="'Mantenimiento 10'!A1" display="Conectividad para mantenimiento" xr:uid="{6474EA05-90F6-44AD-BDF0-CC476B4D4325}"/>
  </hyperlinks>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dataBar" id="{A0B12C88-D56B-4052-B129-047397836BC3}">
            <x14:dataBar minLength="0" maxLength="100">
              <x14:cfvo type="autoMin"/>
              <x14:cfvo type="autoMax"/>
              <x14:negativeFillColor rgb="FFFF0000"/>
              <x14:axisColor rgb="FF000000"/>
            </x14:dataBar>
          </x14:cfRule>
          <xm:sqref>N10:N19</xm:sqref>
        </x14:conditionalFormatting>
        <x14:conditionalFormatting xmlns:xm="http://schemas.microsoft.com/office/excel/2006/main">
          <x14:cfRule type="iconSet" priority="37" id="{4A7FD508-66E8-4912-9236-12756A450326}">
            <x14:iconSet iconSet="3Stars" showValue="0">
              <x14:cfvo type="percent">
                <xm:f>0</xm:f>
              </x14:cfvo>
              <x14:cfvo type="num">
                <xm:f>2</xm:f>
              </x14:cfvo>
              <x14:cfvo type="num">
                <xm:f>3</xm:f>
              </x14:cfvo>
            </x14:iconSet>
          </x14:cfRule>
          <xm:sqref>S10:S19</xm:sqref>
        </x14:conditionalFormatting>
        <x14:conditionalFormatting xmlns:xm="http://schemas.microsoft.com/office/excel/2006/main">
          <x14:cfRule type="dataBar" id="{99755FB8-8543-4464-9588-F8E451219A6D}">
            <x14:dataBar minLength="0" maxLength="100">
              <x14:cfvo type="autoMin"/>
              <x14:cfvo type="autoMax"/>
              <x14:negativeFillColor rgb="FFFF0000"/>
              <x14:axisColor rgb="FF000000"/>
            </x14:dataBar>
          </x14:cfRule>
          <xm:sqref>AC10:AC19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BE6B8-79BD-4595-9AC5-934B6FDC580D}">
  <sheetPr codeName="Planilha7"/>
  <dimension ref="A1:AM29"/>
  <sheetViews>
    <sheetView showGridLines="0" zoomScale="50" zoomScaleNormal="50" workbookViewId="0">
      <pane xSplit="5" ySplit="9" topLeftCell="F10" activePane="bottomRight" state="frozen"/>
      <selection activeCell="C16" sqref="C16"/>
      <selection pane="topRight" activeCell="C16" sqref="C16"/>
      <selection pane="bottomLeft" activeCell="C16" sqref="C16"/>
      <selection pane="bottomRight" activeCell="D13" sqref="D13"/>
    </sheetView>
  </sheetViews>
  <sheetFormatPr defaultColWidth="0" defaultRowHeight="15" customHeight="1" zeroHeight="1" outlineLevelCol="1" x14ac:dyDescent="0.25"/>
  <cols>
    <col min="1" max="1" width="2.140625" customWidth="1"/>
    <col min="2" max="2" width="17.42578125" customWidth="1"/>
    <col min="3" max="3" width="4" customWidth="1"/>
    <col min="4" max="4" width="43.5703125" customWidth="1"/>
    <col min="5" max="5" width="9.42578125" customWidth="1"/>
    <col min="6" max="6" width="20.42578125" customWidth="1"/>
    <col min="7" max="7" width="11.140625" customWidth="1"/>
    <col min="8" max="11" width="5.85546875" customWidth="1" outlineLevel="1"/>
    <col min="12" max="12" width="20.5703125" customWidth="1"/>
    <col min="13" max="13" width="11.5703125" customWidth="1"/>
    <col min="14" max="14" width="10.85546875" customWidth="1"/>
    <col min="15" max="18" width="5.85546875" customWidth="1" outlineLevel="1"/>
    <col min="19" max="19" width="12.42578125" customWidth="1" outlineLevel="1"/>
    <col min="20" max="20" width="16.85546875" customWidth="1" outlineLevel="1"/>
    <col min="21" max="21" width="6.140625" bestFit="1" customWidth="1" outlineLevel="1"/>
    <col min="22" max="25" width="6.7109375" customWidth="1" outlineLevel="1"/>
    <col min="26" max="26" width="19.42578125" customWidth="1"/>
    <col min="27" max="27" width="19.140625" customWidth="1"/>
    <col min="28" max="28" width="12.140625" customWidth="1"/>
    <col min="29" max="29" width="11.5703125" customWidth="1"/>
    <col min="30" max="33" width="5.85546875" customWidth="1" outlineLevel="1"/>
    <col min="34" max="34" width="9.140625" customWidth="1"/>
    <col min="35" max="39" width="0" hidden="1" customWidth="1"/>
    <col min="40" max="16384" width="9.140625" hidden="1"/>
  </cols>
  <sheetData>
    <row r="1" spans="1:33"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33" ht="43.5" x14ac:dyDescent="0.35">
      <c r="B2" s="11"/>
      <c r="C2" s="11"/>
      <c r="D2" s="80" t="s">
        <v>0</v>
      </c>
      <c r="E2" s="80"/>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3" ht="43.5" x14ac:dyDescent="0.25">
      <c r="B3" s="10"/>
      <c r="C3" s="10"/>
      <c r="D3" s="81" t="s">
        <v>1</v>
      </c>
      <c r="E3" s="81"/>
      <c r="F3" s="296" t="s">
        <v>22</v>
      </c>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row>
    <row r="4" spans="1:33" ht="7.5" customHeight="1" x14ac:dyDescent="0.25"/>
    <row r="5" spans="1:33" ht="19.5" customHeight="1" x14ac:dyDescent="0.25">
      <c r="B5" s="237" t="s">
        <v>45</v>
      </c>
      <c r="C5" s="237"/>
      <c r="D5" s="237"/>
      <c r="F5" s="237" t="s">
        <v>46</v>
      </c>
      <c r="G5" s="237"/>
      <c r="H5" s="237"/>
      <c r="I5" s="237"/>
      <c r="J5" s="237"/>
      <c r="L5" s="237" t="s">
        <v>26</v>
      </c>
      <c r="M5" s="237"/>
      <c r="N5" s="64"/>
      <c r="O5" s="64"/>
      <c r="P5" s="64"/>
      <c r="Q5" s="64"/>
      <c r="R5" s="64"/>
      <c r="Z5" s="237" t="s">
        <v>47</v>
      </c>
      <c r="AA5" s="237"/>
      <c r="AB5" s="64"/>
      <c r="AC5" s="64"/>
      <c r="AD5" s="64"/>
      <c r="AE5" s="64"/>
      <c r="AF5" s="64"/>
    </row>
    <row r="6" spans="1:33" ht="11.25" customHeight="1" x14ac:dyDescent="0.25">
      <c r="U6" s="91">
        <v>6</v>
      </c>
      <c r="V6" s="91">
        <v>7</v>
      </c>
      <c r="W6" s="91">
        <v>8</v>
      </c>
      <c r="X6" s="91">
        <v>9</v>
      </c>
      <c r="Y6" s="91">
        <v>10</v>
      </c>
    </row>
    <row r="7" spans="1:33" ht="22.5" customHeight="1" x14ac:dyDescent="0.25">
      <c r="B7" s="239" t="s">
        <v>50</v>
      </c>
      <c r="C7" s="239" t="s">
        <v>51</v>
      </c>
      <c r="D7" s="239" t="s">
        <v>52</v>
      </c>
      <c r="E7" s="239" t="s">
        <v>53</v>
      </c>
      <c r="F7" s="240" t="s">
        <v>54</v>
      </c>
      <c r="G7" s="240" t="s">
        <v>55</v>
      </c>
      <c r="H7" s="241" t="s">
        <v>56</v>
      </c>
      <c r="I7" s="241" t="s">
        <v>57</v>
      </c>
      <c r="J7" s="241" t="s">
        <v>58</v>
      </c>
      <c r="K7" s="241" t="s">
        <v>59</v>
      </c>
      <c r="L7" s="238" t="s">
        <v>60</v>
      </c>
      <c r="M7" s="238" t="s">
        <v>61</v>
      </c>
      <c r="N7" s="238" t="s">
        <v>62</v>
      </c>
      <c r="O7" s="243" t="s">
        <v>56</v>
      </c>
      <c r="P7" s="243" t="s">
        <v>57</v>
      </c>
      <c r="Q7" s="243" t="s">
        <v>58</v>
      </c>
      <c r="R7" s="243" t="s">
        <v>59</v>
      </c>
      <c r="S7" s="244" t="s">
        <v>63</v>
      </c>
      <c r="T7" s="244" t="s">
        <v>64</v>
      </c>
      <c r="U7" s="242" t="s">
        <v>65</v>
      </c>
      <c r="V7" s="242" t="s">
        <v>66</v>
      </c>
      <c r="W7" s="242" t="s">
        <v>67</v>
      </c>
      <c r="X7" s="242" t="s">
        <v>68</v>
      </c>
      <c r="Y7" s="242" t="s">
        <v>69</v>
      </c>
      <c r="Z7" s="257" t="s">
        <v>70</v>
      </c>
      <c r="AA7" s="257" t="s">
        <v>71</v>
      </c>
      <c r="AB7" s="257" t="s">
        <v>72</v>
      </c>
      <c r="AC7" s="257" t="s">
        <v>73</v>
      </c>
      <c r="AD7" s="245" t="s">
        <v>56</v>
      </c>
      <c r="AE7" s="245" t="s">
        <v>57</v>
      </c>
      <c r="AF7" s="245" t="s">
        <v>58</v>
      </c>
      <c r="AG7" s="245" t="s">
        <v>59</v>
      </c>
    </row>
    <row r="8" spans="1:33" ht="15" customHeight="1" x14ac:dyDescent="0.25">
      <c r="B8" s="239"/>
      <c r="C8" s="239"/>
      <c r="D8" s="239"/>
      <c r="E8" s="239"/>
      <c r="F8" s="240"/>
      <c r="G8" s="240"/>
      <c r="H8" s="241"/>
      <c r="I8" s="241"/>
      <c r="J8" s="241"/>
      <c r="K8" s="241"/>
      <c r="L8" s="238"/>
      <c r="M8" s="238"/>
      <c r="N8" s="238"/>
      <c r="O8" s="243"/>
      <c r="P8" s="243"/>
      <c r="Q8" s="243"/>
      <c r="R8" s="243"/>
      <c r="S8" s="244"/>
      <c r="T8" s="244"/>
      <c r="U8" s="242"/>
      <c r="V8" s="242"/>
      <c r="W8" s="242"/>
      <c r="X8" s="242"/>
      <c r="Y8" s="242"/>
      <c r="Z8" s="257"/>
      <c r="AA8" s="257"/>
      <c r="AB8" s="257"/>
      <c r="AC8" s="257"/>
      <c r="AD8" s="245"/>
      <c r="AE8" s="245"/>
      <c r="AF8" s="245"/>
      <c r="AG8" s="245"/>
    </row>
    <row r="9" spans="1:33" ht="15" customHeight="1" x14ac:dyDescent="0.25">
      <c r="B9" s="119" t="s">
        <v>74</v>
      </c>
      <c r="C9" s="119" t="s">
        <v>51</v>
      </c>
      <c r="D9" s="119" t="s">
        <v>52</v>
      </c>
      <c r="E9" s="119" t="s">
        <v>53</v>
      </c>
      <c r="F9" s="120" t="s">
        <v>54</v>
      </c>
      <c r="G9" s="120" t="s">
        <v>75</v>
      </c>
      <c r="H9" s="121" t="s">
        <v>56</v>
      </c>
      <c r="I9" s="121" t="s">
        <v>57</v>
      </c>
      <c r="J9" s="121" t="s">
        <v>58</v>
      </c>
      <c r="K9" s="121" t="s">
        <v>59</v>
      </c>
      <c r="L9" s="122" t="s">
        <v>60</v>
      </c>
      <c r="M9" s="122" t="s">
        <v>76</v>
      </c>
      <c r="N9" s="122" t="s">
        <v>77</v>
      </c>
      <c r="O9" s="137" t="s">
        <v>56</v>
      </c>
      <c r="P9" s="137" t="s">
        <v>57</v>
      </c>
      <c r="Q9" s="137" t="s">
        <v>58</v>
      </c>
      <c r="R9" s="137" t="s">
        <v>59</v>
      </c>
      <c r="S9" s="138" t="s">
        <v>63</v>
      </c>
      <c r="T9" s="138" t="s">
        <v>64</v>
      </c>
      <c r="U9" s="139" t="s">
        <v>65</v>
      </c>
      <c r="V9" s="139" t="s">
        <v>66</v>
      </c>
      <c r="W9" s="139" t="s">
        <v>67</v>
      </c>
      <c r="X9" s="139" t="s">
        <v>68</v>
      </c>
      <c r="Y9" s="139" t="s">
        <v>69</v>
      </c>
      <c r="Z9" s="123" t="s">
        <v>70</v>
      </c>
      <c r="AA9" s="123" t="s">
        <v>71</v>
      </c>
      <c r="AB9" s="123" t="s">
        <v>72</v>
      </c>
      <c r="AC9" s="123" t="s">
        <v>73</v>
      </c>
      <c r="AD9" s="124" t="s">
        <v>56</v>
      </c>
      <c r="AE9" s="124" t="s">
        <v>57</v>
      </c>
      <c r="AF9" s="124" t="s">
        <v>58</v>
      </c>
      <c r="AG9" s="124" t="s">
        <v>59</v>
      </c>
    </row>
    <row r="10" spans="1:33" ht="47.25" customHeight="1" x14ac:dyDescent="0.25">
      <c r="B10" s="115" t="s">
        <v>173</v>
      </c>
      <c r="C10" s="160" t="s">
        <v>79</v>
      </c>
      <c r="D10" s="160" t="s">
        <v>174</v>
      </c>
      <c r="E10" s="72">
        <v>0.02</v>
      </c>
      <c r="F10" s="76" t="str">
        <f>'Descarte 1'!$D$7</f>
        <v>Cumpre</v>
      </c>
      <c r="G10" s="88">
        <f>IF($F10="Não cumpre",0,IF($F10="Parcial",$E10*0.4,IF($F10="Cumpre",$E10*0.7,IF($F10="Mais que cumpre",$E10*0.85,IF($F10="Melhor Prática",E10,0)))))</f>
        <v>1.3999999999999999E-2</v>
      </c>
      <c r="H10" s="103">
        <f>'Descarte 1'!$F$7</f>
        <v>3</v>
      </c>
      <c r="I10" s="103">
        <f>'Descarte 1'!$G$7</f>
        <v>3</v>
      </c>
      <c r="J10" s="103" t="str">
        <f>'Descarte 1'!$H$7</f>
        <v/>
      </c>
      <c r="K10" s="103" t="str">
        <f>'Descarte 1'!$I$7</f>
        <v/>
      </c>
      <c r="L10" s="76" t="str">
        <f>IF('Descarte 1'!$D$10="","",'Descarte 1'!$D$10)</f>
        <v>Cumpre</v>
      </c>
      <c r="M10" s="77">
        <f>IF($L10="Não cumpre",0,IF($L10="Parcial",$E10*0.4,IF($L10="Cumpre",$E10*0.7,IF($L10="Mais que cumpre",$E10*0.85,IF($L10="Melhor Prática",E10,0)))))</f>
        <v>1.3999999999999999E-2</v>
      </c>
      <c r="N10" s="78">
        <f>IFERROR(G10/M10,"")</f>
        <v>1</v>
      </c>
      <c r="O10" s="103" t="str">
        <f>'Descarte 1'!$F$10</f>
        <v>-</v>
      </c>
      <c r="P10" s="103" t="str">
        <f>'Descarte 1'!$G$10</f>
        <v>-</v>
      </c>
      <c r="Q10" s="103" t="str">
        <f>'Descarte 1'!$H$10</f>
        <v>D</v>
      </c>
      <c r="R10" s="103" t="str">
        <f>'Descarte 1'!$I$10</f>
        <v>D</v>
      </c>
      <c r="S10" s="117">
        <f>IF('Descarte 1'!$M$10="","",'Descarte 1'!$M$10)</f>
        <v>1</v>
      </c>
      <c r="T10" s="104" t="str">
        <f>IF('Descarte 1'!$O$10="","",'Descarte 1'!$O$10)</f>
        <v>No Planificado</v>
      </c>
      <c r="U10" s="95">
        <f>IF('Descarte 1'!$Q$9&lt;=Estratégia!$U$6,0.5,0)+IF('Descarte 1'!$S$9&gt;=Descarte!$U$6,0.5,0)</f>
        <v>0.5</v>
      </c>
      <c r="V10" s="94">
        <f>IF('Descarte 1'!$Q$9&lt;=Estratégia!$V$6,0.5,0)+IF('Descarte 1'!$S$9&gt;=Estratégia!$V$6,0.5,0)</f>
        <v>0.5</v>
      </c>
      <c r="W10" s="94">
        <f>IF('Descarte 1'!$Q$9&lt;=Estratégia!$W$6,0.5,0)+IF('Descarte 1'!$S$9&gt;=Estratégia!$W$6,0.5,0)</f>
        <v>0.5</v>
      </c>
      <c r="X10" s="94">
        <f>IF('Descarte 1'!$Q$9&lt;=Estratégia!$X$6,0.5,0)+IF('Descarte 1'!$S$9&gt;=Estratégia!$X$6,0.5,0)</f>
        <v>0.5</v>
      </c>
      <c r="Y10" s="94">
        <f>IF('Descarte 1'!$Q$9&lt;=Estratégia!$Y$6,0.5,0)+IF('Descarte 1'!$S$9&gt;=Estratégia!$Y$6,0.5,0)</f>
        <v>0.5</v>
      </c>
      <c r="Z10" s="79" t="str">
        <f ca="1">IF(OR(AA10&lt;&gt;"",'Descarte 1'!$D$15="No Planificado"),'Descarte 1'!$D$15,IF(AND(AA10="",MONTH(TODAY())&gt;'Descarte 1'!$S$9),"Retrasado","A Tiempo"))</f>
        <v>A Tiempo</v>
      </c>
      <c r="AA10" s="76" t="str">
        <f>IF('Descarte 1'!$D$12="","",'Descarte 1'!$D$12)</f>
        <v>Melhor Prática</v>
      </c>
      <c r="AB10" s="77">
        <f>IF($AA10="Não cumpre",0,IF($AA10="Parcial",$E10*0.4,IF($AA10="Cumpre",$E10*0.7,IF($AA10="Mais que cumpre",$E10*0.85,IF($AA10="Melhor Prática",E10,0)))))</f>
        <v>0.02</v>
      </c>
      <c r="AC10" s="78">
        <f>IFERROR(AB10/M10,"")</f>
        <v>1.4285714285714288</v>
      </c>
      <c r="AD10" s="103">
        <f>'Descarte 1'!$F$12</f>
        <v>3</v>
      </c>
      <c r="AE10" s="103">
        <f>'Descarte 1'!$G$12</f>
        <v>3</v>
      </c>
      <c r="AF10" s="103">
        <f>'Descarte 1'!$H$12</f>
        <v>3</v>
      </c>
      <c r="AG10" s="103">
        <f>'Descarte 1'!$I$12</f>
        <v>3</v>
      </c>
    </row>
    <row r="11" spans="1:33" ht="45.75" customHeight="1" x14ac:dyDescent="0.25">
      <c r="B11" s="115" t="s">
        <v>173</v>
      </c>
      <c r="C11" s="160" t="s">
        <v>81</v>
      </c>
      <c r="D11" s="160" t="s">
        <v>175</v>
      </c>
      <c r="E11" s="74">
        <v>5.0000000000000001E-3</v>
      </c>
      <c r="F11" s="76" t="str">
        <f>'Descarte 2'!$D$7</f>
        <v>Mais que cumpre</v>
      </c>
      <c r="G11" s="88">
        <f>IF($F11="Não cumpre",0,IF($F11="Parcial",$E11*0.4,IF($F11="Cumpre",$E11*0.7,IF($F11="Mais que cumpre",$E11*0.85,IF($F11="Melhor Prática",E11,0)))))</f>
        <v>4.2500000000000003E-3</v>
      </c>
      <c r="H11" s="103">
        <f>'Descarte 2'!$F$7</f>
        <v>3</v>
      </c>
      <c r="I11" s="103">
        <f>'Descarte 2'!$G$7</f>
        <v>3</v>
      </c>
      <c r="J11" s="103">
        <f>'Descarte 2'!$H$7</f>
        <v>3</v>
      </c>
      <c r="K11" s="103">
        <f>'Descarte 2'!$I$7</f>
        <v>1</v>
      </c>
      <c r="L11" s="76" t="str">
        <f>IF('Descarte 2'!$D$10="","",'Descarte 2'!$D$10)</f>
        <v>Melhor Prática</v>
      </c>
      <c r="M11" s="77">
        <f t="shared" ref="M11:M14" si="0">IF($L11="Não cumpre",0,IF($L11="Parcial",$E11*0.4,IF($L11="Cumpre",$E11*0.7,IF($L11="Mais que cumpre",$E11*0.85,IF($L11="Melhor Prática",E11,0)))))</f>
        <v>5.0000000000000001E-3</v>
      </c>
      <c r="N11" s="78">
        <f t="shared" ref="N11:N14" si="1">IFERROR(G11/M11,"")</f>
        <v>0.85000000000000009</v>
      </c>
      <c r="O11" s="103" t="str">
        <f>'Descarte 2'!$F$10</f>
        <v>-</v>
      </c>
      <c r="P11" s="103" t="str">
        <f>'Descarte 2'!$G$10</f>
        <v>-</v>
      </c>
      <c r="Q11" s="103" t="str">
        <f>'Descarte 2'!$H$10</f>
        <v>-</v>
      </c>
      <c r="R11" s="103" t="str">
        <f>'Descarte 2'!$I$10</f>
        <v>D</v>
      </c>
      <c r="S11" s="118">
        <f>IF('Descarte 2'!$M$10="","",'Descarte 2'!$M$10)</f>
        <v>3</v>
      </c>
      <c r="T11" s="104" t="str">
        <f>IF('Descarte 2'!$O$10="","",'Descarte 2'!$O$10)</f>
        <v>Baja</v>
      </c>
      <c r="U11" s="95">
        <f>IF('Descarte 2'!$Q$9&lt;=Estratégia!$U$6,0.5,0)+IF('Descarte 2'!$S$9&gt;=Descarte!$U$6,0.5,0)</f>
        <v>0.5</v>
      </c>
      <c r="V11" s="94">
        <f>IF('Descarte 2'!$Q$9&lt;=Estratégia!$V$6,0.5,0)+IF('Descarte 2'!$S$9&gt;=Estratégia!$V$6,0.5,0)</f>
        <v>0.5</v>
      </c>
      <c r="W11" s="94">
        <f>IF('Descarte 2'!$Q$9&lt;=Estratégia!$W$6,0.5,0)+IF('Descarte 2'!$S$9&gt;=Estratégia!$W$6,0.5,0)</f>
        <v>1</v>
      </c>
      <c r="X11" s="94">
        <f>IF('Descarte 2'!$Q$9&lt;=Estratégia!$X$6,0.5,0)+IF('Descarte 2'!$S$9&gt;=Estratégia!$X$6,0.5,0)</f>
        <v>1</v>
      </c>
      <c r="Y11" s="94">
        <f>IF('Descarte 2'!$Q$9&lt;=Estratégia!$Y$6,0.5,0)+IF('Descarte 2'!$S$9&gt;=Estratégia!$Y$6,0.5,0)</f>
        <v>1</v>
      </c>
      <c r="Z11" s="79" t="str">
        <f ca="1">IF(OR(AA11&lt;&gt;"",'Descarte 2'!$D$15="No Planificado"),'Descarte 2'!$D$15,IF(AND(AA11="",MONTH(TODAY())&gt;'Descarte 2'!$S$9),"Retrasado","A Tiempo"))</f>
        <v>Finalizado</v>
      </c>
      <c r="AA11" s="76" t="str">
        <f>IF('Descarte 2'!$D$12="","",'Descarte 2'!$D$12)</f>
        <v>Melhor Prática</v>
      </c>
      <c r="AB11" s="77">
        <f>IF($AA11="Não cumpre",0,IF($AA11="Parcial",$E11*0.4,IF($AA11="Cumpre",$E11*0.7,IF($AA11="Mais que cumpre",$E11*0.85,IF($AA11="Melhor Prática",E11,0)))))</f>
        <v>5.0000000000000001E-3</v>
      </c>
      <c r="AC11" s="78">
        <f t="shared" ref="AC11:AC14" si="2">IFERROR(AB11/M11,"")</f>
        <v>1</v>
      </c>
      <c r="AD11" s="103">
        <f>'Descarte 2'!$F$12</f>
        <v>3</v>
      </c>
      <c r="AE11" s="103">
        <f>'Descarte 2'!$G$12</f>
        <v>3</v>
      </c>
      <c r="AF11" s="103">
        <f>'Descarte 2'!$H$12</f>
        <v>3</v>
      </c>
      <c r="AG11" s="103">
        <f>'Descarte 2'!$I$12</f>
        <v>3</v>
      </c>
    </row>
    <row r="12" spans="1:33" ht="45.75" customHeight="1" x14ac:dyDescent="0.25">
      <c r="B12" s="115" t="s">
        <v>176</v>
      </c>
      <c r="C12" s="160" t="s">
        <v>83</v>
      </c>
      <c r="D12" s="160" t="s">
        <v>177</v>
      </c>
      <c r="E12" s="72">
        <v>0.01</v>
      </c>
      <c r="F12" s="76" t="str">
        <f>'Descarte 3'!$D$7</f>
        <v>Parcial</v>
      </c>
      <c r="G12" s="88">
        <f>IF($F12="Não cumpre",0,IF($F12="Parcial",$E12*0.4,IF($F12="Cumpre",$E12*0.7,IF($F12="Mais que cumpre",$E12*0.85,IF($F12="Melhor Prática",E12,0)))))</f>
        <v>4.0000000000000001E-3</v>
      </c>
      <c r="H12" s="103">
        <f>'Descarte 3'!$F$7</f>
        <v>3</v>
      </c>
      <c r="I12" s="103">
        <f>'Descarte 3'!$G$7</f>
        <v>1</v>
      </c>
      <c r="J12" s="103">
        <f>'Descarte 3'!$H$7</f>
        <v>3</v>
      </c>
      <c r="K12" s="103">
        <f>'Descarte 3'!$I$7</f>
        <v>1</v>
      </c>
      <c r="L12" s="76" t="str">
        <f>IF('Descarte 3'!$D$10="","",'Descarte 3'!$D$10)</f>
        <v>Mais que Cumpre</v>
      </c>
      <c r="M12" s="77">
        <f t="shared" si="0"/>
        <v>8.5000000000000006E-3</v>
      </c>
      <c r="N12" s="78">
        <f t="shared" si="1"/>
        <v>0.47058823529411764</v>
      </c>
      <c r="O12" s="103" t="str">
        <f>'Descarte 3'!$F$10</f>
        <v>-</v>
      </c>
      <c r="P12" s="103" t="str">
        <f>'Descarte 3'!$G$10</f>
        <v>D</v>
      </c>
      <c r="Q12" s="103" t="str">
        <f>'Descarte 3'!$H$10</f>
        <v>D</v>
      </c>
      <c r="R12" s="103" t="str">
        <f>'Descarte 3'!$I$10</f>
        <v>D</v>
      </c>
      <c r="S12" s="118">
        <f>IF('Descarte 3'!$M$10="","",'Descarte 3'!$M$10)</f>
        <v>3</v>
      </c>
      <c r="T12" s="104" t="str">
        <f>IF('Descarte 3'!$O$10="","",'Descarte 3'!$O$10)</f>
        <v>Baja</v>
      </c>
      <c r="U12" s="95">
        <f>IF('Descarte 3'!$Q$9&lt;=Estratégia!$U$6,0.5,0)+IF('Descarte 3'!$S$9&gt;=Descarte!$U$6,0.5,0)</f>
        <v>0.5</v>
      </c>
      <c r="V12" s="94">
        <f>IF('Descarte 3'!$Q$9&lt;=Estratégia!$V$6,0.5,0)+IF('Descarte 3'!$S$9&gt;=Estratégia!$V$6,0.5,0)</f>
        <v>0.5</v>
      </c>
      <c r="W12" s="94">
        <f>IF('Descarte 3'!$Q$9&lt;=Estratégia!$W$6,0.5,0)+IF('Descarte 3'!$S$9&gt;=Estratégia!$W$6,0.5,0)</f>
        <v>0.5</v>
      </c>
      <c r="X12" s="94">
        <f>IF('Descarte 3'!$Q$9&lt;=Estratégia!$X$6,0.5,0)+IF('Descarte 3'!$S$9&gt;=Estratégia!$X$6,0.5,0)</f>
        <v>0.5</v>
      </c>
      <c r="Y12" s="94">
        <f>IF('Descarte 3'!$Q$9&lt;=Estratégia!$Y$6,0.5,0)+IF('Descarte 3'!$S$9&gt;=Estratégia!$Y$6,0.5,0)</f>
        <v>0.5</v>
      </c>
      <c r="Z12" s="79" t="str">
        <f ca="1">IF(OR(AA12&lt;&gt;"",'Descarte 3'!$D$15="No Planificado"),'Descarte 3'!$D$15,IF(AND(AA12="",MONTH(TODAY())&gt;'Descarte 3'!$S$9),"Retrasado","A Tiempo"))</f>
        <v>A Tiempo</v>
      </c>
      <c r="AA12" s="76" t="str">
        <f>IF('Descarte 3'!$D$12="","",'Descarte 3'!$D$12)</f>
        <v>Mais que cumpre</v>
      </c>
      <c r="AB12" s="77">
        <f>IF($AA12="Não cumpre",0,IF($AA12="Parcial",$E12*0.4,IF($AA12="Cumpre",$E12*0.7,IF($AA12="Mais que cumpre",$E12*0.85,IF($AA12="Melhor Prática",E12,0)))))</f>
        <v>8.5000000000000006E-3</v>
      </c>
      <c r="AC12" s="78">
        <f t="shared" si="2"/>
        <v>1</v>
      </c>
      <c r="AD12" s="103">
        <f>'Descarte 3'!$F$12</f>
        <v>3</v>
      </c>
      <c r="AE12" s="103">
        <f>'Descarte 3'!$G$12</f>
        <v>3</v>
      </c>
      <c r="AF12" s="103">
        <f>'Descarte 3'!$H$12</f>
        <v>3</v>
      </c>
      <c r="AG12" s="103" t="str">
        <f>'Descarte 3'!$I$12</f>
        <v/>
      </c>
    </row>
    <row r="13" spans="1:33" ht="45.75" customHeight="1" x14ac:dyDescent="0.25">
      <c r="B13" s="115" t="s">
        <v>105</v>
      </c>
      <c r="C13" s="160" t="s">
        <v>85</v>
      </c>
      <c r="D13" s="160" t="s">
        <v>178</v>
      </c>
      <c r="E13" s="74">
        <v>0.01</v>
      </c>
      <c r="F13" s="76" t="str">
        <f>'Descarte 4'!$D$7</f>
        <v>Não cumpre</v>
      </c>
      <c r="G13" s="88">
        <f>IF($F13="Não cumpre",0,IF($F13="Parcial",$E13*0.4,IF($F13="Cumpre",$E13*0.7,IF($F13="Mais que cumpre",$E13*0.85,IF($F13="Melhor Prática",E13,0)))))</f>
        <v>0</v>
      </c>
      <c r="H13" s="103">
        <f>'Descarte 4'!$F$7</f>
        <v>1</v>
      </c>
      <c r="I13" s="103">
        <f>'Descarte 4'!$G$7</f>
        <v>1</v>
      </c>
      <c r="J13" s="103">
        <f>'Descarte 4'!$H$7</f>
        <v>1</v>
      </c>
      <c r="K13" s="103" t="str">
        <f>'Descarte 4'!$I$7</f>
        <v/>
      </c>
      <c r="L13" s="76" t="str">
        <f>IF('Descarte 4'!$D$10="","",'Descarte 4'!$D$10)</f>
        <v>Mais que Cumpre</v>
      </c>
      <c r="M13" s="77">
        <f t="shared" si="0"/>
        <v>8.5000000000000006E-3</v>
      </c>
      <c r="N13" s="78">
        <f t="shared" si="1"/>
        <v>0</v>
      </c>
      <c r="O13" s="103" t="str">
        <f>'Descarte 4'!$F$10</f>
        <v>-</v>
      </c>
      <c r="P13" s="103" t="str">
        <f>'Descarte 4'!$G$10</f>
        <v>-</v>
      </c>
      <c r="Q13" s="103" t="str">
        <f>'Descarte 4'!$H$10</f>
        <v>D</v>
      </c>
      <c r="R13" s="103" t="str">
        <f>'Descarte 4'!$I$10</f>
        <v>-</v>
      </c>
      <c r="S13" s="118">
        <f>IF('Descarte 4'!$M$10="","",'Descarte 4'!$M$10)</f>
        <v>2</v>
      </c>
      <c r="T13" s="104" t="str">
        <f>IF('Descarte 4'!$O$10="","",'Descarte 4'!$O$10)</f>
        <v>Alta</v>
      </c>
      <c r="U13" s="95">
        <f>IF('Descarte 4'!$Q$9&lt;=Estratégia!$U$6,0.5,0)+IF('Descarte 4'!$S$9&gt;=Descarte!$U$6,0.5,0)</f>
        <v>0.5</v>
      </c>
      <c r="V13" s="94">
        <f>IF('Descarte 4'!$Q$9&lt;=Estratégia!$V$6,0.5,0)+IF('Descarte 4'!$S$9&gt;=Estratégia!$V$6,0.5,0)</f>
        <v>0.5</v>
      </c>
      <c r="W13" s="94">
        <f>IF('Descarte 4'!$Q$9&lt;=Estratégia!$W$6,0.5,0)+IF('Descarte 4'!$S$9&gt;=Estratégia!$W$6,0.5,0)</f>
        <v>0.5</v>
      </c>
      <c r="X13" s="94">
        <f>IF('Descarte 4'!$Q$9&lt;=Estratégia!$X$6,0.5,0)+IF('Descarte 4'!$S$9&gt;=Estratégia!$X$6,0.5,0)</f>
        <v>0.5</v>
      </c>
      <c r="Y13" s="94">
        <f>IF('Descarte 4'!$Q$9&lt;=Estratégia!$Y$6,0.5,0)+IF('Descarte 4'!$S$9&gt;=Estratégia!$Y$6,0.5,0)</f>
        <v>0.5</v>
      </c>
      <c r="Z13" s="79" t="str">
        <f ca="1">IF(OR(AA13&lt;&gt;"",'Descarte 4'!$D$15="No Planificado"),'Descarte 4'!$D$15,IF(AND(AA13="",MONTH(TODAY())&gt;'Descarte 4'!$S$9),"Retrasado","A Tiempo"))</f>
        <v>Retrasado</v>
      </c>
      <c r="AA13" s="76" t="str">
        <f>IF('Descarte 4'!$D$12="","",'Descarte 4'!$D$12)</f>
        <v>Melhor Prática</v>
      </c>
      <c r="AB13" s="77">
        <f>IF($AA13="Não cumpre",0,IF($AA13="Parcial",$E13*0.4,IF($AA13="Cumpre",$E13*0.7,IF($AA13="Mais que cumpre",$E13*0.85,IF($AA13="Melhor Prática",E13,0)))))</f>
        <v>0.01</v>
      </c>
      <c r="AC13" s="78">
        <f t="shared" si="2"/>
        <v>1.1764705882352942</v>
      </c>
      <c r="AD13" s="103">
        <f>'Descarte 4'!$F$12</f>
        <v>3</v>
      </c>
      <c r="AE13" s="103">
        <f>'Descarte 4'!$G$12</f>
        <v>3</v>
      </c>
      <c r="AF13" s="103">
        <f>'Descarte 4'!$H$12</f>
        <v>3</v>
      </c>
      <c r="AG13" s="103">
        <f>'Descarte 4'!$I$12</f>
        <v>3</v>
      </c>
    </row>
    <row r="14" spans="1:33" ht="45.75" customHeight="1" x14ac:dyDescent="0.25">
      <c r="B14" s="115" t="s">
        <v>179</v>
      </c>
      <c r="C14" s="160" t="s">
        <v>88</v>
      </c>
      <c r="D14" s="160" t="s">
        <v>180</v>
      </c>
      <c r="E14" s="72">
        <v>5.0000000000000001E-3</v>
      </c>
      <c r="F14" s="76" t="str">
        <f>'Descarte 5'!$D$7</f>
        <v>Cumpre</v>
      </c>
      <c r="G14" s="88">
        <f>IF($F14="Não cumpre",0,IF($F14="Parcial",$E14*0.4,IF($F14="Cumpre",$E14*0.7,IF($F14="Mais que cumpre",$E14*0.85,IF($F14="Melhor Prática",E14,0)))))</f>
        <v>3.4999999999999996E-3</v>
      </c>
      <c r="H14" s="103">
        <f>'Descarte 5'!$F$7</f>
        <v>3</v>
      </c>
      <c r="I14" s="103">
        <f>'Descarte 5'!$G$7</f>
        <v>3</v>
      </c>
      <c r="J14" s="103">
        <f>'Descarte 5'!$H$7</f>
        <v>1</v>
      </c>
      <c r="K14" s="103" t="str">
        <f>'Descarte 5'!$I$7</f>
        <v/>
      </c>
      <c r="L14" s="76" t="str">
        <f>IF('Descarte 5'!$D$10="","",'Descarte 5'!$D$10)</f>
        <v>Mais que Cumpre</v>
      </c>
      <c r="M14" s="77">
        <f t="shared" si="0"/>
        <v>4.2500000000000003E-3</v>
      </c>
      <c r="N14" s="78">
        <f t="shared" si="1"/>
        <v>0.82352941176470573</v>
      </c>
      <c r="O14" s="103" t="str">
        <f>'Descarte 5'!$F$10</f>
        <v>-</v>
      </c>
      <c r="P14" s="103" t="str">
        <f>'Descarte 5'!$G$10</f>
        <v>-</v>
      </c>
      <c r="Q14" s="103" t="str">
        <f>'Descarte 5'!$H$10</f>
        <v>-</v>
      </c>
      <c r="R14" s="103" t="str">
        <f>'Descarte 5'!$I$10</f>
        <v>-</v>
      </c>
      <c r="S14" s="118">
        <f>IF('Descarte 5'!$M$10="","",'Descarte 5'!$M$10)</f>
        <v>3</v>
      </c>
      <c r="T14" s="104" t="str">
        <f>IF('Descarte 5'!$O$10="","",'Descarte 5'!$O$10)</f>
        <v>Alta</v>
      </c>
      <c r="U14" s="95">
        <f>IF('Descarte 5'!$Q$9&lt;=Estratégia!$U$6,0.5,0)+IF('Descarte 5'!$S$9&gt;=Descarte!$U$6,0.5,0)</f>
        <v>0.5</v>
      </c>
      <c r="V14" s="94">
        <f>IF('Descarte 5'!$Q$9&lt;=Estratégia!$V$6,0.5,0)+IF('Descarte 5'!$S$9&gt;=Estratégia!$V$6,0.5,0)</f>
        <v>0.5</v>
      </c>
      <c r="W14" s="94">
        <f>IF('Descarte 5'!$Q$9&lt;=Estratégia!$W$6,0.5,0)+IF('Descarte 5'!$S$9&gt;=Estratégia!$W$6,0.5,0)</f>
        <v>0.5</v>
      </c>
      <c r="X14" s="94">
        <f>IF('Descarte 5'!$Q$9&lt;=Estratégia!$X$6,0.5,0)+IF('Descarte 5'!$S$9&gt;=Estratégia!$X$6,0.5,0)</f>
        <v>0.5</v>
      </c>
      <c r="Y14" s="94">
        <f>IF('Descarte 5'!$Q$9&lt;=Estratégia!$Y$6,0.5,0)+IF('Descarte 5'!$S$9&gt;=Estratégia!$Y$6,0.5,0)</f>
        <v>0.5</v>
      </c>
      <c r="Z14" s="79" t="str">
        <f ca="1">IF(OR(AA14&lt;&gt;"",'Descarte 5'!$D$15="No Planificado"),'Descarte 5'!$D$15,IF(AND(AA14="",MONTH(TODAY())&gt;'Descarte 5'!$S$9),"Retrasado","A Tiempo"))</f>
        <v>Finalizado</v>
      </c>
      <c r="AA14" s="76" t="str">
        <f>IF('Descarte 5'!$D$12="","",'Descarte 5'!$D$12)</f>
        <v>Melhor Prática</v>
      </c>
      <c r="AB14" s="77">
        <f>IF($AA14="Não cumpre",0,IF($AA14="Parcial",$E14*0.4,IF($AA14="Cumpre",$E14*0.7,IF($AA14="Mais que cumpre",$E14*0.85,IF($AA14="Melhor Prática",E14,0)))))</f>
        <v>5.0000000000000001E-3</v>
      </c>
      <c r="AC14" s="78">
        <f t="shared" si="2"/>
        <v>1.1764705882352942</v>
      </c>
      <c r="AD14" s="103">
        <f>'Descarte 5'!$F$12</f>
        <v>3</v>
      </c>
      <c r="AE14" s="103">
        <f>'Descarte 5'!$G$12</f>
        <v>3</v>
      </c>
      <c r="AF14" s="103">
        <f>'Descarte 5'!$H$12</f>
        <v>3</v>
      </c>
      <c r="AG14" s="103">
        <f>'Descarte 5'!$I$12</f>
        <v>3</v>
      </c>
    </row>
    <row r="15" spans="1:33" x14ac:dyDescent="0.25"/>
    <row r="16" spans="1:33" ht="11.25" customHeight="1" x14ac:dyDescent="0.25">
      <c r="B16" s="82"/>
      <c r="C16" s="246" t="s">
        <v>10</v>
      </c>
      <c r="D16" s="246"/>
      <c r="E16" s="247">
        <f>SUM(E10:E14)</f>
        <v>0.05</v>
      </c>
      <c r="F16" s="293"/>
      <c r="G16" s="250">
        <f>SUM(G10:G14)</f>
        <v>2.5749999999999999E-2</v>
      </c>
      <c r="H16" s="89"/>
      <c r="I16" s="89"/>
      <c r="J16" s="89"/>
      <c r="K16" s="89"/>
      <c r="L16" s="83"/>
      <c r="M16" s="252">
        <f>SUM(M10:M14)</f>
        <v>4.0250000000000008E-2</v>
      </c>
      <c r="N16" s="254">
        <f>IFERROR(G16/M16,"")</f>
        <v>0.63975155279503093</v>
      </c>
      <c r="O16" s="90"/>
      <c r="P16" s="90"/>
      <c r="Q16" s="90"/>
      <c r="R16" s="90"/>
      <c r="S16" s="90"/>
      <c r="T16" s="90"/>
      <c r="U16" s="90"/>
      <c r="V16" s="90"/>
      <c r="W16" s="90"/>
      <c r="X16" s="90"/>
      <c r="Y16" s="90"/>
      <c r="Z16" s="84"/>
      <c r="AA16" s="85"/>
      <c r="AB16" s="256">
        <f>SUM(AB10:AB14)</f>
        <v>4.8500000000000001E-2</v>
      </c>
      <c r="AC16" s="258">
        <f>IFERROR(M16/AB16,"")</f>
        <v>0.82989690721649501</v>
      </c>
      <c r="AD16" s="245"/>
      <c r="AE16" s="245"/>
      <c r="AF16" s="245"/>
      <c r="AG16" s="245"/>
    </row>
    <row r="17" spans="2:33" ht="24" x14ac:dyDescent="0.25">
      <c r="B17" s="82"/>
      <c r="C17" s="246"/>
      <c r="D17" s="246"/>
      <c r="E17" s="247"/>
      <c r="F17" s="294"/>
      <c r="G17" s="251"/>
      <c r="H17" s="89"/>
      <c r="I17" s="89"/>
      <c r="J17" s="89"/>
      <c r="K17" s="89"/>
      <c r="L17" s="86"/>
      <c r="M17" s="253"/>
      <c r="N17" s="255"/>
      <c r="O17" s="90"/>
      <c r="P17" s="90"/>
      <c r="Q17" s="90"/>
      <c r="R17" s="90"/>
      <c r="S17" s="90"/>
      <c r="T17" s="90"/>
      <c r="U17" s="90"/>
      <c r="V17" s="90"/>
      <c r="W17" s="90"/>
      <c r="X17" s="90"/>
      <c r="Y17" s="90"/>
      <c r="Z17" s="84"/>
      <c r="AA17" s="85"/>
      <c r="AB17" s="256"/>
      <c r="AC17" s="258"/>
      <c r="AD17" s="245"/>
      <c r="AE17" s="245"/>
      <c r="AF17" s="245"/>
      <c r="AG17" s="245"/>
    </row>
    <row r="18" spans="2:33" x14ac:dyDescent="0.25"/>
    <row r="19" spans="2:33" ht="15" customHeight="1" x14ac:dyDescent="0.25"/>
    <row r="20" spans="2:33" ht="15" customHeight="1" x14ac:dyDescent="0.25"/>
    <row r="21" spans="2:33" ht="15" customHeight="1" x14ac:dyDescent="0.25"/>
    <row r="22" spans="2:33" ht="15" customHeight="1" x14ac:dyDescent="0.25"/>
    <row r="23" spans="2:33" ht="15" customHeight="1" x14ac:dyDescent="0.25"/>
    <row r="24" spans="2:33" ht="15" customHeight="1" x14ac:dyDescent="0.25"/>
    <row r="25" spans="2:33" ht="15" customHeight="1" x14ac:dyDescent="0.25"/>
    <row r="26" spans="2:33" ht="15" customHeight="1" x14ac:dyDescent="0.25"/>
    <row r="27" spans="2:33" ht="15" customHeight="1" x14ac:dyDescent="0.25"/>
    <row r="28" spans="2:33" ht="15" customHeight="1" x14ac:dyDescent="0.25"/>
    <row r="29" spans="2:33" ht="15" customHeight="1" x14ac:dyDescent="0.25"/>
  </sheetData>
  <autoFilter ref="B9:AG9" xr:uid="{F3416D7B-8507-4AF1-AC12-A67AE73E163C}"/>
  <dataConsolidate/>
  <mergeCells count="49">
    <mergeCell ref="AC16:AC17"/>
    <mergeCell ref="AD16:AD17"/>
    <mergeCell ref="AE16:AE17"/>
    <mergeCell ref="AF16:AF17"/>
    <mergeCell ref="AG16:AG17"/>
    <mergeCell ref="AE7:AE8"/>
    <mergeCell ref="AF7:AF8"/>
    <mergeCell ref="AG7:AG8"/>
    <mergeCell ref="C16:D17"/>
    <mergeCell ref="E16:E17"/>
    <mergeCell ref="F16:F17"/>
    <mergeCell ref="G16:G17"/>
    <mergeCell ref="M16:M17"/>
    <mergeCell ref="N16:N17"/>
    <mergeCell ref="AB16:AB17"/>
    <mergeCell ref="Y7:Y8"/>
    <mergeCell ref="Z7:Z8"/>
    <mergeCell ref="AA7:AA8"/>
    <mergeCell ref="AB7:AB8"/>
    <mergeCell ref="AC7:AC8"/>
    <mergeCell ref="AD7:AD8"/>
    <mergeCell ref="X7:X8"/>
    <mergeCell ref="M7:M8"/>
    <mergeCell ref="N7:N8"/>
    <mergeCell ref="O7:O8"/>
    <mergeCell ref="P7:P8"/>
    <mergeCell ref="Q7:Q8"/>
    <mergeCell ref="R7:R8"/>
    <mergeCell ref="S7:S8"/>
    <mergeCell ref="T7:T8"/>
    <mergeCell ref="U7:U8"/>
    <mergeCell ref="V7:V8"/>
    <mergeCell ref="W7:W8"/>
    <mergeCell ref="L7:L8"/>
    <mergeCell ref="F3:AE3"/>
    <mergeCell ref="B5:D5"/>
    <mergeCell ref="F5:J5"/>
    <mergeCell ref="L5:M5"/>
    <mergeCell ref="Z5:AA5"/>
    <mergeCell ref="B7:B8"/>
    <mergeCell ref="C7:C8"/>
    <mergeCell ref="D7:D8"/>
    <mergeCell ref="E7:E8"/>
    <mergeCell ref="F7:F8"/>
    <mergeCell ref="G7:G8"/>
    <mergeCell ref="H7:H8"/>
    <mergeCell ref="I7:I8"/>
    <mergeCell ref="J7:J8"/>
    <mergeCell ref="K7:K8"/>
  </mergeCells>
  <conditionalFormatting sqref="H10:K14">
    <cfRule type="iconSet" priority="40">
      <iconSet showValue="0">
        <cfvo type="percent" val="0"/>
        <cfvo type="num" val="2"/>
        <cfvo type="num" val="3"/>
      </iconSet>
    </cfRule>
  </conditionalFormatting>
  <conditionalFormatting sqref="N10:N14">
    <cfRule type="dataBar" priority="38">
      <dataBar showValue="0">
        <cfvo type="min"/>
        <cfvo type="max"/>
        <color rgb="FF63C384"/>
      </dataBar>
      <extLst>
        <ext xmlns:x14="http://schemas.microsoft.com/office/spreadsheetml/2009/9/main" uri="{B025F937-C7B1-47D3-B67F-A62EFF666E3E}">
          <x14:id>{1B3ADBB0-A690-4F74-869F-EC5B6A2E69BD}</x14:id>
        </ext>
      </extLst>
    </cfRule>
  </conditionalFormatting>
  <conditionalFormatting sqref="O10:R14">
    <cfRule type="iconSet" priority="42">
      <iconSet showValue="0">
        <cfvo type="percent" val="0"/>
        <cfvo type="num" val="2"/>
        <cfvo type="num" val="3"/>
      </iconSet>
    </cfRule>
  </conditionalFormatting>
  <conditionalFormatting sqref="U10:Y14">
    <cfRule type="cellIs" dxfId="1026" priority="2" operator="equal">
      <formula>2</formula>
    </cfRule>
    <cfRule type="cellIs" dxfId="1025" priority="3" operator="equal">
      <formula>1</formula>
    </cfRule>
    <cfRule type="cellIs" dxfId="1024" priority="4" operator="equal">
      <formula>0</formula>
    </cfRule>
  </conditionalFormatting>
  <conditionalFormatting sqref="AC10:AC14">
    <cfRule type="dataBar" priority="39">
      <dataBar showValue="0">
        <cfvo type="min"/>
        <cfvo type="max"/>
        <color theme="6" tint="0.39997558519241921"/>
      </dataBar>
      <extLst>
        <ext xmlns:x14="http://schemas.microsoft.com/office/spreadsheetml/2009/9/main" uri="{B025F937-C7B1-47D3-B67F-A62EFF666E3E}">
          <x14:id>{288EC9C3-440E-4504-92ED-74D6F21CDDD3}</x14:id>
        </ext>
      </extLst>
    </cfRule>
  </conditionalFormatting>
  <conditionalFormatting sqref="AD10:AG14">
    <cfRule type="iconSet" priority="41">
      <iconSet showValue="0">
        <cfvo type="percent" val="0"/>
        <cfvo type="num" val="2"/>
        <cfvo type="num" val="3"/>
      </iconSet>
    </cfRule>
  </conditionalFormatting>
  <hyperlinks>
    <hyperlink ref="D10" location="'Descarte 1'!A1" display="Control de movimientos y stock de EDF" xr:uid="{1BFCBA00-DCFB-44CD-A7C9-6B2E711DAFA5}"/>
    <hyperlink ref="C10" location="'Descarte 1'!A1" display="1." xr:uid="{7455CEB9-DDD3-4DB1-8ACD-CDA26E28A398}"/>
    <hyperlink ref="C11" location="'Descarte 2'!A1" display="2." xr:uid="{6EF31298-6FC6-4408-8179-B7A3D07569C9}"/>
    <hyperlink ref="D11" location="'Descarte 2'!A1" display="Aprobación y segregación del descarte" xr:uid="{73A1BC8D-6866-4CF2-8B5C-F891A5B0E704}"/>
    <hyperlink ref="C12" location="'Descarte 3'!A1" display="3." xr:uid="{5AB634A3-E75C-4C8D-9042-D2BDE89186AC}"/>
    <hyperlink ref="D12" location="'Descarte 3'!A1" display="Análisis del descarte" xr:uid="{38ED51F8-8C89-4A8E-9B66-0B5BDC1CE425}"/>
    <hyperlink ref="C13" location="'Descarte 4'!A1" display="4." xr:uid="{03B26BF4-6475-4606-B4C3-31BB618E62E3}"/>
    <hyperlink ref="D13" location="'Descarte 4'!A1" display="Sustentabilidad para descarte" xr:uid="{17248D49-8D9B-4891-B2F9-FB677BD7AA93}"/>
    <hyperlink ref="C14" location="'Descarte 5'!A1" display="5." xr:uid="{3DB3D740-7D8C-4312-8AF9-AEBEBA1E5DB1}"/>
    <hyperlink ref="D14" location="'Descarte 5'!A1" display="Política de descarte de equipos" xr:uid="{02B12F91-348A-40F9-815F-8828E95744A0}"/>
  </hyperlinks>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dataBar" id="{1B3ADBB0-A690-4F74-869F-EC5B6A2E69BD}">
            <x14:dataBar minLength="0" maxLength="100">
              <x14:cfvo type="autoMin"/>
              <x14:cfvo type="autoMax"/>
              <x14:negativeFillColor rgb="FFFF0000"/>
              <x14:axisColor rgb="FF000000"/>
            </x14:dataBar>
          </x14:cfRule>
          <xm:sqref>N10:N14</xm:sqref>
        </x14:conditionalFormatting>
        <x14:conditionalFormatting xmlns:xm="http://schemas.microsoft.com/office/excel/2006/main">
          <x14:cfRule type="iconSet" priority="43" id="{1BC1D763-0FD8-41A1-8D6A-F8B7E9A0EF68}">
            <x14:iconSet iconSet="3Stars" showValue="0">
              <x14:cfvo type="percent">
                <xm:f>0</xm:f>
              </x14:cfvo>
              <x14:cfvo type="num">
                <xm:f>2</xm:f>
              </x14:cfvo>
              <x14:cfvo type="num">
                <xm:f>3</xm:f>
              </x14:cfvo>
            </x14:iconSet>
          </x14:cfRule>
          <xm:sqref>S10:S14</xm:sqref>
        </x14:conditionalFormatting>
        <x14:conditionalFormatting xmlns:xm="http://schemas.microsoft.com/office/excel/2006/main">
          <x14:cfRule type="dataBar" id="{288EC9C3-440E-4504-92ED-74D6F21CDDD3}">
            <x14:dataBar minLength="0" maxLength="100">
              <x14:cfvo type="autoMin"/>
              <x14:cfvo type="autoMax"/>
              <x14:negativeFillColor rgb="FFFF0000"/>
              <x14:axisColor rgb="FF000000"/>
            </x14:dataBar>
          </x14:cfRule>
          <xm:sqref>AC10:AC14</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65FAA-42E1-4A93-8E23-9518D9005FED}">
  <sheetPr codeName="Planilha8"/>
  <dimension ref="A1:AB50"/>
  <sheetViews>
    <sheetView showGridLines="0" zoomScale="40" zoomScaleNormal="40" workbookViewId="0">
      <pane xSplit="3" ySplit="4" topLeftCell="D5"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219</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6.0000000000000001E-3</v>
      </c>
      <c r="F7" s="48">
        <f>IF($K$24&lt;&gt;"",IF($K$24=3,3,IF($K$24=2,2,1)),"")</f>
        <v>3</v>
      </c>
      <c r="G7" s="48" t="str">
        <f>IF($N$24&lt;&gt;"",IF($N$24=3,3,IF($N$24=2,2,1)),"")</f>
        <v/>
      </c>
      <c r="H7" s="48" t="str">
        <f>IF($Q$24&lt;&gt;"",IF($Q$24=3,3,IF($Q$24=2,2,1)),"")</f>
        <v/>
      </c>
      <c r="I7" s="48" t="str">
        <f>IF($T$24&lt;&gt;"",IF($T$24=3,3,IF($T$24=2,2,1)),"")</f>
        <v/>
      </c>
      <c r="J7" s="32"/>
      <c r="K7" s="49" t="s">
        <v>224</v>
      </c>
      <c r="L7" s="46" t="s">
        <v>225</v>
      </c>
      <c r="M7" s="267"/>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1.2749999999999999E-2</v>
      </c>
      <c r="F10" s="52" t="str">
        <f>IF(K20="D","D","-")</f>
        <v>-</v>
      </c>
      <c r="G10" s="52" t="str">
        <f>IF(N20="D","D","-")</f>
        <v>D</v>
      </c>
      <c r="H10" s="52" t="str">
        <f>IF(Q20="D","D","-")</f>
        <v>-</v>
      </c>
      <c r="I10" s="52" t="str">
        <f>IF(T20="D","D","-")</f>
        <v>D</v>
      </c>
      <c r="J10" s="32"/>
      <c r="K10" s="66" t="s">
        <v>230</v>
      </c>
      <c r="L10" s="50" t="s">
        <v>231</v>
      </c>
      <c r="M10" s="75"/>
      <c r="N10" s="50" t="s">
        <v>232</v>
      </c>
      <c r="O10" s="53"/>
      <c r="P10" s="50" t="s">
        <v>233</v>
      </c>
      <c r="Q10" s="92"/>
      <c r="R10" s="50" t="s">
        <v>235</v>
      </c>
      <c r="S10" s="92"/>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1.4999999999999999E-2</v>
      </c>
      <c r="F12" s="268">
        <f>IF($L$24&lt;&gt;"",IF($L$24=3,3,IF($L$24=2,2,1)),"")</f>
        <v>3</v>
      </c>
      <c r="G12" s="268">
        <f>IF($O$24&lt;&gt;"",IF($O$24=3,3,IF($O$24=2,2,1)),"")</f>
        <v>3</v>
      </c>
      <c r="H12" s="268">
        <f>IF($R$24&lt;&gt;"",IF($R$24=3,3,IF($R$24=2,2,1)),"")</f>
        <v>3</v>
      </c>
      <c r="I12" s="268">
        <f>IF($U$24&lt;&gt;"",IF($U$24=3,3,IF($U$24=2,2,1)),"")</f>
        <v>3</v>
      </c>
      <c r="J12" s="32"/>
      <c r="K12" s="300" t="s">
        <v>240</v>
      </c>
      <c r="L12" s="274"/>
      <c r="M12" s="280"/>
      <c r="N12" s="299"/>
      <c r="O12" s="300" t="s">
        <v>240</v>
      </c>
      <c r="P12" s="274"/>
      <c r="Q12" s="280"/>
      <c r="R12" s="299"/>
      <c r="S12" s="274" t="s">
        <v>240</v>
      </c>
      <c r="T12" s="274"/>
      <c r="U12" s="280"/>
      <c r="V12" s="299"/>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f>IF($D13="No Cumple",0,IF($D13="Parcial",$E$18*0.4,IF($D13="Cumple",$E$18*0.7,IF($D13="Más que Cumple",$E$18*0.85,IF($D13="Mejor Práctica",$E$18,0)))))</f>
        <v>0</v>
      </c>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f>IF($D14="No Cumple",0,IF($D14="Parcial",$E$18*0.4,IF($D14="Cumple",$E$18*0.7,IF($D14="Más que Cumple",$E$18*0.85,IF($D14="Mejor Práctica",$E$18,0)))))</f>
        <v>0</v>
      </c>
      <c r="F14" s="38"/>
      <c r="G14" s="38"/>
      <c r="H14" s="38"/>
      <c r="I14" s="38"/>
      <c r="J14" s="32"/>
      <c r="K14" s="266" t="s">
        <v>247</v>
      </c>
      <c r="L14" s="286"/>
      <c r="M14" s="286"/>
      <c r="N14" s="265" t="s">
        <v>275</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No Planificado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t="s">
        <v>250</v>
      </c>
      <c r="G16" s="87" t="s">
        <v>250</v>
      </c>
      <c r="H16" s="87" t="s">
        <v>250</v>
      </c>
      <c r="I16" s="9" t="s">
        <v>250</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1.4999999999999999E-2</v>
      </c>
      <c r="F18" s="41"/>
      <c r="G18" s="41"/>
      <c r="H18" s="41"/>
      <c r="I18" s="41"/>
      <c r="J18" s="9"/>
      <c r="K18" s="266" t="s">
        <v>253</v>
      </c>
      <c r="L18" s="264"/>
      <c r="M18" s="265"/>
      <c r="N18" s="266" t="s">
        <v>254</v>
      </c>
      <c r="O18" s="264"/>
      <c r="P18" s="265"/>
      <c r="Q18" s="266" t="s">
        <v>255</v>
      </c>
      <c r="R18" s="264"/>
      <c r="S18" s="265"/>
      <c r="T18" s="264" t="s">
        <v>256</v>
      </c>
      <c r="U18" s="264"/>
      <c r="V18" s="265"/>
      <c r="W18" s="9"/>
      <c r="X18" s="9"/>
      <c r="Y18" s="23"/>
    </row>
    <row r="19" spans="1:25" ht="124.5" customHeight="1" outlineLevel="2" x14ac:dyDescent="0.3">
      <c r="A19" s="1"/>
      <c r="B19" s="283"/>
      <c r="C19" s="283"/>
      <c r="D19" s="42" t="s">
        <v>257</v>
      </c>
      <c r="E19" s="264" t="s">
        <v>258</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78</v>
      </c>
      <c r="F20" s="288"/>
      <c r="G20" s="288"/>
      <c r="H20" s="288"/>
      <c r="I20" s="288"/>
      <c r="J20" s="25"/>
      <c r="K20" s="266" t="s">
        <v>259</v>
      </c>
      <c r="L20" s="264"/>
      <c r="M20" s="265"/>
      <c r="N20" s="266" t="s">
        <v>260</v>
      </c>
      <c r="O20" s="264"/>
      <c r="P20" s="265"/>
      <c r="Q20" s="266" t="s">
        <v>259</v>
      </c>
      <c r="R20" s="264"/>
      <c r="S20" s="265"/>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261</v>
      </c>
      <c r="L21" s="264"/>
      <c r="M21" s="265"/>
      <c r="N21" s="266" t="s">
        <v>262</v>
      </c>
      <c r="O21" s="264"/>
      <c r="P21" s="265"/>
      <c r="Q21" s="266" t="s">
        <v>262</v>
      </c>
      <c r="R21" s="264"/>
      <c r="S21" s="265"/>
      <c r="T21" s="264" t="s">
        <v>263</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c r="O24" s="40">
        <v>3</v>
      </c>
      <c r="P24" s="289"/>
      <c r="Q24" s="56"/>
      <c r="R24" s="40">
        <v>3</v>
      </c>
      <c r="S24" s="289"/>
      <c r="T24" s="40"/>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276</v>
      </c>
      <c r="L26" s="45"/>
      <c r="M26" s="289"/>
      <c r="N26" s="58" t="s">
        <v>277</v>
      </c>
      <c r="O26" s="45" t="s">
        <v>278</v>
      </c>
      <c r="P26" s="289"/>
      <c r="Q26" s="58" t="s">
        <v>279</v>
      </c>
      <c r="R26" s="45" t="s">
        <v>280</v>
      </c>
      <c r="S26" s="289"/>
      <c r="T26" s="45"/>
      <c r="U26" s="45" t="s">
        <v>281</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25"/>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25"/>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25"/>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25"/>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25"/>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25"/>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25"/>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25"/>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25"/>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25"/>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25"/>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25"/>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25"/>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25"/>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25"/>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25"/>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25"/>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25"/>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25"/>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25"/>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25"/>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25"/>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25"/>
      <c r="U49" s="25"/>
      <c r="V49" s="60"/>
      <c r="X49" s="9"/>
      <c r="Y49" s="23"/>
    </row>
    <row r="50" spans="1:25" x14ac:dyDescent="0.25">
      <c r="S50" s="1"/>
      <c r="V50" s="1"/>
    </row>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1023" priority="2" operator="containsText" text="Finalizado">
      <formula>NOT(ISERROR(SEARCH("Finalizado",D15)))</formula>
    </cfRule>
    <cfRule type="containsText" dxfId="1022" priority="3" operator="containsText" text="No Planificado">
      <formula>NOT(ISERROR(SEARCH("No Planificado",D15)))</formula>
    </cfRule>
    <cfRule type="containsText" dxfId="1021" priority="4" operator="containsText" text="A Tiempo">
      <formula>NOT(ISERROR(SEARCH("A Tiempo",D15)))</formula>
    </cfRule>
    <cfRule type="containsText" dxfId="1020"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1019" priority="20" operator="containsText" text="PENDIENTE">
      <formula>NOT(ISERROR(SEARCH("PENDIENTE",K25)))</formula>
    </cfRule>
    <cfRule type="containsText" dxfId="1018" priority="21" operator="containsText" text="NO VALIDADO">
      <formula>NOT(ISERROR(SEARCH("NO VALIDADO",K25)))</formula>
    </cfRule>
    <cfRule type="containsText" dxfId="1017" priority="22" operator="containsText" text="VALIDADO">
      <formula>NOT(ISERROR(SEARCH("VALIDADO",K25)))</formula>
    </cfRule>
  </conditionalFormatting>
  <conditionalFormatting sqref="N25:O25">
    <cfRule type="containsText" dxfId="1016" priority="13" operator="containsText" text="PENDIENTE">
      <formula>NOT(ISERROR(SEARCH("PENDIENTE",N25)))</formula>
    </cfRule>
    <cfRule type="containsText" dxfId="1015" priority="14" operator="containsText" text="NO VALIDADO">
      <formula>NOT(ISERROR(SEARCH("NO VALIDADO",N25)))</formula>
    </cfRule>
    <cfRule type="containsText" dxfId="1014" priority="15" operator="containsText" text="VALIDADO">
      <formula>NOT(ISERROR(SEARCH("VALIDADO",N25)))</formula>
    </cfRule>
  </conditionalFormatting>
  <conditionalFormatting sqref="Q25:R25">
    <cfRule type="containsText" dxfId="1013" priority="10" operator="containsText" text="PENDIENTE">
      <formula>NOT(ISERROR(SEARCH("PENDIENTE",Q25)))</formula>
    </cfRule>
    <cfRule type="containsText" dxfId="1012" priority="11" operator="containsText" text="NO VALIDADO">
      <formula>NOT(ISERROR(SEARCH("NO VALIDADO",Q25)))</formula>
    </cfRule>
    <cfRule type="containsText" dxfId="1011" priority="12" operator="containsText" text="VALIDADO">
      <formula>NOT(ISERROR(SEARCH("VALIDADO",Q25)))</formula>
    </cfRule>
  </conditionalFormatting>
  <conditionalFormatting sqref="T25:U25">
    <cfRule type="containsText" dxfId="1010" priority="7" operator="containsText" text="PENDIENTE">
      <formula>NOT(ISERROR(SEARCH("PENDIENTE",T25)))</formula>
    </cfRule>
    <cfRule type="containsText" dxfId="1009" priority="8" operator="containsText" text="NO VALIDADO">
      <formula>NOT(ISERROR(SEARCH("NO VALIDADO",T25)))</formula>
    </cfRule>
    <cfRule type="containsText" dxfId="1008" priority="9" operator="containsText" text="VALIDADO">
      <formula>NOT(ISERROR(SEARCH("VALIDADO",T25)))</formula>
    </cfRule>
  </conditionalFormatting>
  <dataValidations count="6">
    <dataValidation type="list" allowBlank="1" showInputMessage="1" showErrorMessage="1" sqref="D10" xr:uid="{E6196AD4-ABE8-44EE-85AA-690E5B2F9F2B}">
      <formula1>"No Cumple, Parcial,Cumple,Más que Cumple,Mejor Práctica"</formula1>
    </dataValidation>
    <dataValidation type="list" allowBlank="1" showInputMessage="1" showErrorMessage="1" sqref="S10 Q10" xr:uid="{44C4670A-D694-4F84-B15E-4E5A4CCC708E}">
      <formula1>"Junio,Julio,Agosto,Septiembre,Octubre"</formula1>
    </dataValidation>
    <dataValidation type="list" allowBlank="1" showInputMessage="1" showErrorMessage="1" sqref="O10" xr:uid="{6F04151B-6E7F-42F5-99E3-D5027329FE27}">
      <formula1>"Alta,Baja,No Planificado"</formula1>
    </dataValidation>
    <dataValidation type="list" allowBlank="1" showInputMessage="1" showErrorMessage="1" sqref="AB14:AB15 R14:R15 N14:N15 V14:V15" xr:uid="{9CC3824D-892F-42BC-ACD2-3B9999F271BA}">
      <formula1>"No Cumple, Parcial, Cumple, Más que Cumple, Mejor Práctica"</formula1>
    </dataValidation>
    <dataValidation type="list" allowBlank="1" showInputMessage="1" showErrorMessage="1" sqref="K14:K15 O14:O15 S14:S15" xr:uid="{81437541-CBE1-4300-9E4F-0C9C1AE83E12}">
      <formula1>"No Iniciado, En Progreso,Finalizado"</formula1>
    </dataValidation>
    <dataValidation type="list" allowBlank="1" showInputMessage="1" showErrorMessage="1" sqref="M12:N12 Q12:R12 U12:V12" xr:uid="{ED5C146C-9DB2-41C1-838B-57A1EDEFB1D3}">
      <formula1>"Janeiro,Fevereiro,Março,Abril,Maio,Junho,Julho,Agosto,Setembro,Outubro,Novembro,Dezembro"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9A69A548-0E5F-4596-ADDD-9928F32C6AD1}">
            <x14:iconSet iconSet="3Stars" showValue="0">
              <x14:cfvo type="percent">
                <xm:f>0</xm:f>
              </x14:cfvo>
              <x14:cfvo type="num">
                <xm:f>2</xm:f>
              </x14:cfvo>
              <x14:cfvo type="num">
                <xm:f>3</xm:f>
              </x14:cfvo>
            </x14:iconSet>
          </x14:cfRule>
          <xm:sqref>M10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AC76-0296-4E6B-9F28-50FFE985FB39}">
  <sheetPr codeName="Planilha9"/>
  <dimension ref="A1:AB50"/>
  <sheetViews>
    <sheetView showGridLines="0" zoomScale="50" zoomScaleNormal="50" workbookViewId="0">
      <pane xSplit="3" ySplit="4" topLeftCell="F15"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282</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163"/>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Melhor Prática</v>
      </c>
      <c r="E7" s="47">
        <f>IF($D7="Não cumpre",0,IF($D7="Parcial",$E$18*0.4,IF($D7="Cumpre",$E$18*0.7,IF($D7="Mais que cumpre",$E$18*0.85,IF($D7="Melhor Prática",$E$18,0)))))</f>
        <v>0.01</v>
      </c>
      <c r="F7" s="48">
        <f>IF($K$24&lt;&gt;"",IF($K$24=3,3,IF($K$24=2,2,1)),"")</f>
        <v>3</v>
      </c>
      <c r="G7" s="48">
        <f>IF($N$24&lt;&gt;"",IF($N$24=3,3,IF($N$24=2,2,1)),"")</f>
        <v>3</v>
      </c>
      <c r="H7" s="48">
        <f>IF($Q$24&lt;&gt;"",IF($Q$24=3,3,IF($Q$24=2,2,1)),"")</f>
        <v>3</v>
      </c>
      <c r="I7" s="48">
        <f>IF($T$24&lt;&gt;"",IF($T$24=3,3,IF($T$24=2,2,1)),"")</f>
        <v>3</v>
      </c>
      <c r="J7" s="32"/>
      <c r="K7" s="49" t="s">
        <v>224</v>
      </c>
      <c r="L7" s="46" t="s">
        <v>225</v>
      </c>
      <c r="M7" s="267" t="s">
        <v>283</v>
      </c>
      <c r="N7" s="267"/>
      <c r="O7" s="267"/>
      <c r="P7" s="46" t="s">
        <v>227</v>
      </c>
      <c r="Q7" s="267" t="s">
        <v>284</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0.01</v>
      </c>
      <c r="F10" s="52" t="str">
        <f>IF(K20="D","D","-")</f>
        <v>-</v>
      </c>
      <c r="G10" s="52" t="str">
        <f>IF(N20="D","D","-")</f>
        <v>-</v>
      </c>
      <c r="H10" s="52" t="str">
        <f>IF(Q20="D","D","-")</f>
        <v>-</v>
      </c>
      <c r="I10" s="52" t="str">
        <f>IF(T20="D","D","-")</f>
        <v>-</v>
      </c>
      <c r="J10" s="32"/>
      <c r="K10" s="66" t="s">
        <v>230</v>
      </c>
      <c r="L10" s="50" t="s">
        <v>231</v>
      </c>
      <c r="M10" s="75">
        <v>1</v>
      </c>
      <c r="N10" s="50" t="s">
        <v>232</v>
      </c>
      <c r="O10" s="53" t="s">
        <v>285</v>
      </c>
      <c r="P10" s="50" t="s">
        <v>233</v>
      </c>
      <c r="Q10" s="92" t="s">
        <v>286</v>
      </c>
      <c r="R10" s="50" t="s">
        <v>235</v>
      </c>
      <c r="S10" s="92" t="s">
        <v>286</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
      </c>
      <c r="E12" s="273">
        <f>IF($D12="Não cumpre",0,IF($D12="Parcial",$E$18*0.4,IF($D12="Cumpre",$E$18*0.7,IF($D12="Mais que cumpre",$E$18*0.85,IF($D12="Melhor Prática",$E$18,0)))))</f>
        <v>0</v>
      </c>
      <c r="F12" s="268" t="str">
        <f>IF($L$24&lt;&gt;"",IF($L$24=3,3,IF($L$24=2,2,1)),"")</f>
        <v/>
      </c>
      <c r="G12" s="268" t="str">
        <f>IF($O$24&lt;&gt;"",IF($O$24=3,3,IF($O$24=2,2,1)),"")</f>
        <v/>
      </c>
      <c r="H12" s="268" t="str">
        <f>IF($R$24&lt;&gt;"",IF($R$24=3,3,IF($R$24=2,2,1)),"")</f>
        <v/>
      </c>
      <c r="I12" s="268" t="str">
        <f>IF($U$24&lt;&gt;"",IF($U$24=3,3,IF($U$24=2,2,1)),"")</f>
        <v/>
      </c>
      <c r="J12" s="32"/>
      <c r="K12" s="300" t="s">
        <v>240</v>
      </c>
      <c r="L12" s="274"/>
      <c r="M12" s="280"/>
      <c r="N12" s="299"/>
      <c r="O12" s="300" t="s">
        <v>240</v>
      </c>
      <c r="P12" s="274"/>
      <c r="Q12" s="280"/>
      <c r="R12" s="299"/>
      <c r="S12" s="274" t="s">
        <v>240</v>
      </c>
      <c r="T12" s="274"/>
      <c r="U12" s="280"/>
      <c r="V12" s="299"/>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f>IF($D13="No Cumple",0,IF($D13="Parcial",$E$18*0.4,IF($D13="Cumple",$E$18*0.7,IF($D13="Más que Cumple",$E$18*0.85,IF($D13="Mejor Práctica",$E$18,0)))))</f>
        <v>0</v>
      </c>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f>IF($D14="No Cumple",0,IF($D14="Parcial",$E$18*0.4,IF($D14="Cumple",$E$18*0.7,IF($D14="Más que Cumple",$E$18*0.85,IF($D14="Mejor Práctica",$E$18,0)))))</f>
        <v>0</v>
      </c>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t="s">
        <v>250</v>
      </c>
      <c r="G16" s="87" t="s">
        <v>250</v>
      </c>
      <c r="H16" s="87" t="s">
        <v>250</v>
      </c>
      <c r="I16" s="9" t="s">
        <v>250</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0.01</v>
      </c>
      <c r="F18" s="41"/>
      <c r="G18" s="41"/>
      <c r="H18" s="41"/>
      <c r="I18" s="41"/>
      <c r="J18" s="9"/>
      <c r="K18" s="266" t="s">
        <v>287</v>
      </c>
      <c r="L18" s="264"/>
      <c r="M18" s="265"/>
      <c r="N18" s="266" t="s">
        <v>288</v>
      </c>
      <c r="O18" s="264"/>
      <c r="P18" s="265"/>
      <c r="Q18" s="266" t="s">
        <v>289</v>
      </c>
      <c r="R18" s="264"/>
      <c r="S18" s="265"/>
      <c r="T18" s="264" t="s">
        <v>290</v>
      </c>
      <c r="U18" s="264"/>
      <c r="V18" s="265"/>
      <c r="W18" s="9"/>
      <c r="X18" s="9"/>
      <c r="Y18" s="23"/>
    </row>
    <row r="19" spans="1:25" ht="124.5" customHeight="1" outlineLevel="2" x14ac:dyDescent="0.3">
      <c r="A19" s="1"/>
      <c r="B19" s="283"/>
      <c r="C19" s="283"/>
      <c r="D19" s="42" t="s">
        <v>257</v>
      </c>
      <c r="E19" s="264" t="s">
        <v>291</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78</v>
      </c>
      <c r="F20" s="288"/>
      <c r="G20" s="288"/>
      <c r="H20" s="288"/>
      <c r="I20" s="288"/>
      <c r="J20" s="25"/>
      <c r="K20" s="266" t="s">
        <v>259</v>
      </c>
      <c r="L20" s="264"/>
      <c r="M20" s="265"/>
      <c r="N20" s="266"/>
      <c r="O20" s="264"/>
      <c r="P20" s="265"/>
      <c r="Q20" s="266" t="s">
        <v>259</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292</v>
      </c>
      <c r="L21" s="264"/>
      <c r="M21" s="265"/>
      <c r="N21" s="266" t="s">
        <v>293</v>
      </c>
      <c r="O21" s="264"/>
      <c r="P21" s="265"/>
      <c r="Q21" s="266" t="s">
        <v>294</v>
      </c>
      <c r="R21" s="264"/>
      <c r="S21" s="265"/>
      <c r="T21" s="264" t="s">
        <v>293</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c r="M24" s="289"/>
      <c r="N24" s="56">
        <v>3</v>
      </c>
      <c r="O24" s="40"/>
      <c r="P24" s="289"/>
      <c r="Q24" s="56">
        <v>3</v>
      </c>
      <c r="R24" s="40"/>
      <c r="S24" s="289"/>
      <c r="T24" s="40">
        <v>3</v>
      </c>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295</v>
      </c>
      <c r="L26" s="45"/>
      <c r="M26" s="289"/>
      <c r="N26" s="58" t="s">
        <v>296</v>
      </c>
      <c r="O26" s="45"/>
      <c r="P26" s="289"/>
      <c r="Q26" s="58" t="s">
        <v>297</v>
      </c>
      <c r="R26" s="45"/>
      <c r="S26" s="289"/>
      <c r="T26" s="45" t="s">
        <v>298</v>
      </c>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25"/>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25"/>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25"/>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25"/>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25"/>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25"/>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25"/>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25"/>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25"/>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25"/>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25"/>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25"/>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25"/>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25"/>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25"/>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25"/>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25"/>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25"/>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25"/>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25"/>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25"/>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25"/>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25"/>
      <c r="U49" s="25"/>
      <c r="V49" s="60"/>
      <c r="X49" s="9"/>
      <c r="Y49" s="23"/>
    </row>
    <row r="50" spans="1:25" x14ac:dyDescent="0.25">
      <c r="S50" s="1"/>
      <c r="V50" s="1"/>
    </row>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1007" priority="2" operator="containsText" text="Finalizado">
      <formula>NOT(ISERROR(SEARCH("Finalizado",D15)))</formula>
    </cfRule>
    <cfRule type="containsText" dxfId="1006" priority="3" operator="containsText" text="No Planificado">
      <formula>NOT(ISERROR(SEARCH("No Planificado",D15)))</formula>
    </cfRule>
    <cfRule type="containsText" dxfId="1005" priority="4" operator="containsText" text="A Tiempo">
      <formula>NOT(ISERROR(SEARCH("A Tiempo",D15)))</formula>
    </cfRule>
    <cfRule type="containsText" dxfId="1004"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1003" priority="20" operator="containsText" text="PENDIENTE">
      <formula>NOT(ISERROR(SEARCH("PENDIENTE",K25)))</formula>
    </cfRule>
    <cfRule type="containsText" dxfId="1002" priority="21" operator="containsText" text="NO VALIDADO">
      <formula>NOT(ISERROR(SEARCH("NO VALIDADO",K25)))</formula>
    </cfRule>
    <cfRule type="containsText" dxfId="1001" priority="22" operator="containsText" text="VALIDADO">
      <formula>NOT(ISERROR(SEARCH("VALIDADO",K25)))</formula>
    </cfRule>
  </conditionalFormatting>
  <conditionalFormatting sqref="N25:O25">
    <cfRule type="containsText" dxfId="1000" priority="13" operator="containsText" text="PENDIENTE">
      <formula>NOT(ISERROR(SEARCH("PENDIENTE",N25)))</formula>
    </cfRule>
    <cfRule type="containsText" dxfId="999" priority="14" operator="containsText" text="NO VALIDADO">
      <formula>NOT(ISERROR(SEARCH("NO VALIDADO",N25)))</formula>
    </cfRule>
    <cfRule type="containsText" dxfId="998" priority="15" operator="containsText" text="VALIDADO">
      <formula>NOT(ISERROR(SEARCH("VALIDADO",N25)))</formula>
    </cfRule>
  </conditionalFormatting>
  <conditionalFormatting sqref="Q25:R25">
    <cfRule type="containsText" dxfId="997" priority="10" operator="containsText" text="PENDIENTE">
      <formula>NOT(ISERROR(SEARCH("PENDIENTE",Q25)))</formula>
    </cfRule>
    <cfRule type="containsText" dxfId="996" priority="11" operator="containsText" text="NO VALIDADO">
      <formula>NOT(ISERROR(SEARCH("NO VALIDADO",Q25)))</formula>
    </cfRule>
    <cfRule type="containsText" dxfId="995" priority="12" operator="containsText" text="VALIDADO">
      <formula>NOT(ISERROR(SEARCH("VALIDADO",Q25)))</formula>
    </cfRule>
  </conditionalFormatting>
  <conditionalFormatting sqref="T25:U25">
    <cfRule type="containsText" dxfId="994" priority="7" operator="containsText" text="PENDIENTE">
      <formula>NOT(ISERROR(SEARCH("PENDIENTE",T25)))</formula>
    </cfRule>
    <cfRule type="containsText" dxfId="993" priority="8" operator="containsText" text="NO VALIDADO">
      <formula>NOT(ISERROR(SEARCH("NO VALIDADO",T25)))</formula>
    </cfRule>
    <cfRule type="containsText" dxfId="992" priority="9" operator="containsText" text="VALIDADO">
      <formula>NOT(ISERROR(SEARCH("VALIDADO",T25)))</formula>
    </cfRule>
  </conditionalFormatting>
  <dataValidations count="6">
    <dataValidation type="list" allowBlank="1" showInputMessage="1" showErrorMessage="1" sqref="K14:K15 O14:O15 S14:S15" xr:uid="{789C9D13-CAB4-4C09-9D81-0BF51B04A3EA}">
      <formula1>"No Iniciado, En Progreso,Finalizado"</formula1>
    </dataValidation>
    <dataValidation type="list" allowBlank="1" showInputMessage="1" showErrorMessage="1" sqref="AB14:AB15 R14:R15 N14:N15 V14:V15" xr:uid="{5A926C65-64D5-44B3-9B62-088AB16A8B35}">
      <formula1>"No Cumple, Parcial, Cumple, Más que Cumple, Mejor Práctica"</formula1>
    </dataValidation>
    <dataValidation type="list" allowBlank="1" showInputMessage="1" showErrorMessage="1" sqref="O10" xr:uid="{2FA77E14-0EC3-49D5-A9F4-DD6A7CAD2AD9}">
      <formula1>"Alta,Baja,No Planificado"</formula1>
    </dataValidation>
    <dataValidation type="list" allowBlank="1" showInputMessage="1" showErrorMessage="1" sqref="S10 Q10" xr:uid="{70E23E3E-B279-446E-8030-959FDA769993}">
      <formula1>"Junio,Julio,Agosto,Septiembre,Octubre"</formula1>
    </dataValidation>
    <dataValidation type="list" allowBlank="1" showInputMessage="1" showErrorMessage="1" sqref="D10" xr:uid="{7F215D7D-BDCF-46A7-A82E-9280763D3EAC}">
      <formula1>"No Cumple, Parcial,Cumple,Más que Cumple,Mejor Práctica"</formula1>
    </dataValidation>
    <dataValidation type="list" allowBlank="1" showInputMessage="1" showErrorMessage="1" sqref="M12:N12 Q12:R12 U12:V12" xr:uid="{7C652797-8D92-4456-8A0E-496198AAB76F}">
      <formula1>"Janeiro,Fevereiro,Março,Abril,Maio,Junho,Julho,Agosto,Setembro,Outubro,Novembro,Dezembro"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DA2825A4-5320-4D77-8266-6DA7DBA616FD}">
            <x14:iconSet iconSet="3Stars" showValue="0">
              <x14:cfvo type="percent">
                <xm:f>0</xm:f>
              </x14:cfvo>
              <x14:cfvo type="num">
                <xm:f>2</xm:f>
              </x14:cfvo>
              <x14:cfvo type="num">
                <xm:f>3</xm:f>
              </x14:cfvo>
            </x14:iconSet>
          </x14:cfRule>
          <xm:sqref>M10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E4CDB-336B-4945-8ABB-4D7E9916DD79}">
  <sheetPr codeName="Planilha10"/>
  <dimension ref="A1:AB51"/>
  <sheetViews>
    <sheetView showGridLines="0" zoomScale="50" zoomScaleNormal="50" workbookViewId="0">
      <pane xSplit="3" ySplit="4" topLeftCell="D20" activePane="bottomRight" state="frozen"/>
      <selection activeCell="C16" sqref="C16"/>
      <selection pane="topRight" activeCell="C16" sqref="C16"/>
      <selection pane="bottomLeft" activeCell="C16" sqref="C16"/>
      <selection pane="bottomRight" activeCell="L32" sqref="L32"/>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3" t="s">
        <v>299</v>
      </c>
      <c r="L3" s="303"/>
      <c r="M3" s="303"/>
      <c r="N3" s="303"/>
      <c r="O3" s="303"/>
      <c r="P3" s="303"/>
      <c r="Q3" s="303"/>
      <c r="R3" s="303"/>
      <c r="S3" s="303"/>
      <c r="T3" s="63"/>
      <c r="U3" s="63"/>
      <c r="V3" s="63"/>
      <c r="W3" s="10"/>
      <c r="X3" s="10"/>
      <c r="Y3" s="12"/>
      <c r="Z3" s="12"/>
      <c r="AA3" s="12"/>
    </row>
    <row r="4" spans="1:28" ht="35.25" customHeight="1" x14ac:dyDescent="0.25">
      <c r="A4" s="1"/>
      <c r="B4" s="1"/>
      <c r="C4" s="10"/>
      <c r="D4" s="277"/>
      <c r="E4" s="277"/>
      <c r="F4" s="277"/>
      <c r="G4" s="277"/>
      <c r="H4" s="277"/>
      <c r="I4" s="277"/>
      <c r="J4" s="61"/>
      <c r="K4" s="304"/>
      <c r="L4" s="304"/>
      <c r="M4" s="304"/>
      <c r="N4" s="304"/>
      <c r="O4" s="304"/>
      <c r="P4" s="304"/>
      <c r="Q4" s="304"/>
      <c r="R4" s="304"/>
      <c r="S4" s="304"/>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4.0000000000000001E-3</v>
      </c>
      <c r="F7" s="48">
        <f>IF($K$24&lt;&gt;"",IF($K$24=3,3,IF($K$24=2,2,1)),"")</f>
        <v>3</v>
      </c>
      <c r="G7" s="48">
        <f>IF($N$24&lt;&gt;"",IF($N$24=3,3,IF($N$24=2,2,1)),"")</f>
        <v>2</v>
      </c>
      <c r="H7" s="48">
        <f>IF($Q$24&lt;&gt;"",IF($Q$24=3,3,IF($Q$24=2,2,1)),"")</f>
        <v>2</v>
      </c>
      <c r="I7" s="48" t="str">
        <f>IF($T$24&lt;&gt;"",IF($T$24=3,3,IF($T$24=2,2,1)),"")</f>
        <v/>
      </c>
      <c r="J7" s="32"/>
      <c r="K7" s="49" t="s">
        <v>224</v>
      </c>
      <c r="L7" s="46" t="s">
        <v>225</v>
      </c>
      <c r="M7" s="267" t="s">
        <v>300</v>
      </c>
      <c r="N7" s="267"/>
      <c r="O7" s="267"/>
      <c r="P7" s="46" t="s">
        <v>227</v>
      </c>
      <c r="Q7" s="267" t="s">
        <v>301</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f>IF(Q10="Junho",6,IF(Q10="Julho",7,IF(Q10="Agosto",8,IF(Q10="Setembro",9,IF(Q10="Outubro",10,"")))))</f>
        <v>8</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8.5000000000000006E-3</v>
      </c>
      <c r="F10" s="52" t="str">
        <f>IF(K20="D","D","-")</f>
        <v>-</v>
      </c>
      <c r="G10" s="52" t="str">
        <f>IF(N20="D","D","-")</f>
        <v>-</v>
      </c>
      <c r="H10" s="52" t="str">
        <f>IF(Q20="D","D","-")</f>
        <v>-</v>
      </c>
      <c r="I10" s="52" t="str">
        <f>IF(T20="D","D","-")</f>
        <v>D</v>
      </c>
      <c r="J10" s="32"/>
      <c r="K10" s="66" t="s">
        <v>230</v>
      </c>
      <c r="L10" s="50" t="s">
        <v>231</v>
      </c>
      <c r="M10" s="75">
        <v>3</v>
      </c>
      <c r="N10" s="50" t="s">
        <v>232</v>
      </c>
      <c r="O10" s="53" t="s">
        <v>302</v>
      </c>
      <c r="P10" s="50" t="s">
        <v>233</v>
      </c>
      <c r="Q10" s="92" t="s">
        <v>234</v>
      </c>
      <c r="R10" s="50" t="s">
        <v>235</v>
      </c>
      <c r="S10" s="92" t="s">
        <v>303</v>
      </c>
      <c r="T10" s="50" t="s">
        <v>237</v>
      </c>
      <c r="U10" s="53" t="s">
        <v>304</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8.5000000000000006E-3</v>
      </c>
      <c r="F12" s="268">
        <f>IF($L$24&lt;&gt;"",IF($L$24=3,3,IF($L$24=2,2,1)),"")</f>
        <v>3</v>
      </c>
      <c r="G12" s="268">
        <f>IF($O$24&lt;&gt;"",IF($O$24=3,3,IF($O$24=2,2,1)),"")</f>
        <v>3</v>
      </c>
      <c r="H12" s="268">
        <f>IF($R$24&lt;&gt;"",IF($R$24=3,3,IF($R$24=2,2,1)),"")</f>
        <v>3</v>
      </c>
      <c r="I12" s="268" t="str">
        <f>IF($U$24&lt;&gt;"",IF($U$24=3,3,IF($U$24=2,2,1)),"")</f>
        <v/>
      </c>
      <c r="J12" s="32"/>
      <c r="K12" s="300" t="s">
        <v>240</v>
      </c>
      <c r="L12" s="274"/>
      <c r="M12" s="280"/>
      <c r="N12" s="299"/>
      <c r="O12" s="300" t="s">
        <v>240</v>
      </c>
      <c r="P12" s="274"/>
      <c r="Q12" s="280"/>
      <c r="R12" s="299"/>
      <c r="S12" s="274" t="s">
        <v>240</v>
      </c>
      <c r="T12" s="274"/>
      <c r="U12" s="280"/>
      <c r="V12" s="299"/>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305</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250</v>
      </c>
      <c r="H16" s="87"/>
      <c r="I16" s="9" t="s">
        <v>306</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0.01</v>
      </c>
      <c r="F18" s="116"/>
      <c r="G18" s="116"/>
      <c r="H18" s="116"/>
      <c r="I18" s="116"/>
      <c r="J18" s="9"/>
      <c r="K18" s="266" t="s">
        <v>307</v>
      </c>
      <c r="L18" s="264"/>
      <c r="M18" s="265"/>
      <c r="N18" s="266" t="s">
        <v>308</v>
      </c>
      <c r="O18" s="264"/>
      <c r="P18" s="265"/>
      <c r="Q18" s="266" t="s">
        <v>309</v>
      </c>
      <c r="R18" s="264"/>
      <c r="S18" s="265"/>
      <c r="T18" s="264" t="s">
        <v>310</v>
      </c>
      <c r="U18" s="264"/>
      <c r="V18" s="265"/>
      <c r="W18" s="9"/>
      <c r="X18" s="9"/>
      <c r="Y18" s="23"/>
    </row>
    <row r="19" spans="1:25" ht="124.5" customHeight="1" outlineLevel="2" x14ac:dyDescent="0.3">
      <c r="A19" s="1"/>
      <c r="B19" s="283"/>
      <c r="C19" s="283"/>
      <c r="D19" s="42" t="s">
        <v>257</v>
      </c>
      <c r="E19" s="264" t="s">
        <v>311</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78</v>
      </c>
      <c r="F20" s="288"/>
      <c r="G20" s="288"/>
      <c r="H20" s="288"/>
      <c r="I20" s="288"/>
      <c r="J20" s="25"/>
      <c r="K20" s="266" t="s">
        <v>259</v>
      </c>
      <c r="L20" s="264"/>
      <c r="M20" s="265"/>
      <c r="N20" s="266"/>
      <c r="O20" s="264"/>
      <c r="P20" s="265"/>
      <c r="Q20" s="266" t="s">
        <v>259</v>
      </c>
      <c r="R20" s="264"/>
      <c r="S20" s="265"/>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312</v>
      </c>
      <c r="L21" s="264"/>
      <c r="M21" s="265"/>
      <c r="N21" s="266" t="s">
        <v>293</v>
      </c>
      <c r="O21" s="264"/>
      <c r="P21" s="265"/>
      <c r="Q21" s="266" t="s">
        <v>294</v>
      </c>
      <c r="R21" s="264"/>
      <c r="S21" s="265"/>
      <c r="T21" s="264" t="s">
        <v>313</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v>2</v>
      </c>
      <c r="R24" s="40">
        <v>3</v>
      </c>
      <c r="S24" s="289"/>
      <c r="T24" s="40"/>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164" t="s">
        <v>314</v>
      </c>
      <c r="L26" s="45"/>
      <c r="M26" s="289"/>
      <c r="N26" s="58"/>
      <c r="O26" s="45" t="s">
        <v>315</v>
      </c>
      <c r="P26" s="289"/>
      <c r="Q26" s="58" t="s">
        <v>316</v>
      </c>
      <c r="R26" s="45" t="s">
        <v>1194</v>
      </c>
      <c r="S26" s="289"/>
      <c r="T26" s="45" t="s">
        <v>317</v>
      </c>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25"/>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25"/>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25"/>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25"/>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25"/>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25"/>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25"/>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25"/>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25"/>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25"/>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25"/>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25"/>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25"/>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25"/>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25"/>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25"/>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25"/>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25"/>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25"/>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25"/>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25"/>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25"/>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25"/>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991" priority="2" operator="containsText" text="Finalizado">
      <formula>NOT(ISERROR(SEARCH("Finalizado",D15)))</formula>
    </cfRule>
    <cfRule type="containsText" dxfId="990" priority="3" operator="containsText" text="No Planificado">
      <formula>NOT(ISERROR(SEARCH("No Planificado",D15)))</formula>
    </cfRule>
    <cfRule type="containsText" dxfId="989" priority="4" operator="containsText" text="A Tiempo">
      <formula>NOT(ISERROR(SEARCH("A Tiempo",D15)))</formula>
    </cfRule>
    <cfRule type="containsText" dxfId="988"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987" priority="20" operator="containsText" text="PENDIENTE">
      <formula>NOT(ISERROR(SEARCH("PENDIENTE",K25)))</formula>
    </cfRule>
    <cfRule type="containsText" dxfId="986" priority="21" operator="containsText" text="NO VALIDADO">
      <formula>NOT(ISERROR(SEARCH("NO VALIDADO",K25)))</formula>
    </cfRule>
    <cfRule type="containsText" dxfId="985" priority="22" operator="containsText" text="VALIDADO">
      <formula>NOT(ISERROR(SEARCH("VALIDADO",K25)))</formula>
    </cfRule>
  </conditionalFormatting>
  <conditionalFormatting sqref="N25:O25">
    <cfRule type="containsText" dxfId="984" priority="13" operator="containsText" text="PENDIENTE">
      <formula>NOT(ISERROR(SEARCH("PENDIENTE",N25)))</formula>
    </cfRule>
    <cfRule type="containsText" dxfId="983" priority="14" operator="containsText" text="NO VALIDADO">
      <formula>NOT(ISERROR(SEARCH("NO VALIDADO",N25)))</formula>
    </cfRule>
    <cfRule type="containsText" dxfId="982" priority="15" operator="containsText" text="VALIDADO">
      <formula>NOT(ISERROR(SEARCH("VALIDADO",N25)))</formula>
    </cfRule>
  </conditionalFormatting>
  <conditionalFormatting sqref="Q25:R25">
    <cfRule type="containsText" dxfId="981" priority="10" operator="containsText" text="PENDIENTE">
      <formula>NOT(ISERROR(SEARCH("PENDIENTE",Q25)))</formula>
    </cfRule>
    <cfRule type="containsText" dxfId="980" priority="11" operator="containsText" text="NO VALIDADO">
      <formula>NOT(ISERROR(SEARCH("NO VALIDADO",Q25)))</formula>
    </cfRule>
    <cfRule type="containsText" dxfId="979" priority="12" operator="containsText" text="VALIDADO">
      <formula>NOT(ISERROR(SEARCH("VALIDADO",Q25)))</formula>
    </cfRule>
  </conditionalFormatting>
  <conditionalFormatting sqref="T25:U25">
    <cfRule type="containsText" dxfId="978" priority="7" operator="containsText" text="PENDIENTE">
      <formula>NOT(ISERROR(SEARCH("PENDIENTE",T25)))</formula>
    </cfRule>
    <cfRule type="containsText" dxfId="977" priority="8" operator="containsText" text="NO VALIDADO">
      <formula>NOT(ISERROR(SEARCH("NO VALIDADO",T25)))</formula>
    </cfRule>
    <cfRule type="containsText" dxfId="976" priority="9" operator="containsText" text="VALIDADO">
      <formula>NOT(ISERROR(SEARCH("VALIDADO",T25)))</formula>
    </cfRule>
  </conditionalFormatting>
  <dataValidations count="6">
    <dataValidation type="list" allowBlank="1" showInputMessage="1" showErrorMessage="1" sqref="D10" xr:uid="{77B8A2D6-6654-44B1-A77E-B2EE519604C7}">
      <formula1>"No Cumple, Parcial,Cumple,Más que Cumple,Mejor Práctica"</formula1>
    </dataValidation>
    <dataValidation type="list" allowBlank="1" showInputMessage="1" showErrorMessage="1" sqref="S10 Q10" xr:uid="{E17CB220-9577-4EC7-952E-EE198A7B11F7}">
      <formula1>"Junio,Julio,Agosto,Septiembre,Octubre"</formula1>
    </dataValidation>
    <dataValidation type="list" allowBlank="1" showInputMessage="1" showErrorMessage="1" sqref="O10" xr:uid="{230C4F51-E5BF-4075-950D-40FA61A701B9}">
      <formula1>"Alta,Baja,No Planificado"</formula1>
    </dataValidation>
    <dataValidation type="list" allowBlank="1" showInputMessage="1" showErrorMessage="1" sqref="AB14:AB15 R14:R15 N14:N15 V14:V15" xr:uid="{8A601EE1-939C-46C9-A8FD-2A8B313F2AB9}">
      <formula1>"No Cumple, Parcial, Cumple, Más que Cumple, Mejor Práctica"</formula1>
    </dataValidation>
    <dataValidation type="list" allowBlank="1" showInputMessage="1" showErrorMessage="1" sqref="K14:K15 O14:O15 S14:S15" xr:uid="{34BE7FCE-2790-4C81-BB8A-5333A03C06EC}">
      <formula1>"No Iniciado, En Progreso,Finalizado"</formula1>
    </dataValidation>
    <dataValidation type="list" allowBlank="1" showInputMessage="1" showErrorMessage="1" sqref="M12:N12 Q12:R12 U12:V12" xr:uid="{68FC9BDC-6620-417C-952D-26DF78DC3202}">
      <formula1>"Janeiro,Fevereiro,Março,Abril,Maio,Junho,Julho,Agosto,Setembro,Outubro,Novembro,Dezembro"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F24716B3-DE2E-451B-8528-519404BF4D7D}">
            <x14:iconSet iconSet="3Stars" showValue="0">
              <x14:cfvo type="percent">
                <xm:f>0</xm:f>
              </x14:cfvo>
              <x14:cfvo type="num">
                <xm:f>2</xm:f>
              </x14:cfvo>
              <x14:cfvo type="num">
                <xm:f>3</xm:f>
              </x14:cfvo>
            </x14:iconSet>
          </x14:cfRule>
          <xm:sqref>M10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247B1-DC56-4432-9C96-2E7C1A40F538}">
  <sheetPr codeName="Planilha14"/>
  <dimension ref="A1:AB52"/>
  <sheetViews>
    <sheetView showGridLines="0" zoomScale="50" zoomScaleNormal="50" workbookViewId="0">
      <pane xSplit="3" ySplit="4" topLeftCell="F11"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3" t="s">
        <v>318</v>
      </c>
      <c r="L3" s="303"/>
      <c r="M3" s="303"/>
      <c r="N3" s="303"/>
      <c r="O3" s="303"/>
      <c r="P3" s="303"/>
      <c r="Q3" s="303"/>
      <c r="R3" s="303"/>
      <c r="S3" s="303"/>
      <c r="T3" s="63"/>
      <c r="U3" s="63"/>
      <c r="V3" s="63"/>
      <c r="W3" s="10"/>
      <c r="X3" s="10"/>
      <c r="Y3" s="12"/>
      <c r="Z3" s="12"/>
      <c r="AA3" s="12"/>
    </row>
    <row r="4" spans="1:28" ht="35.25" customHeight="1" x14ac:dyDescent="0.25">
      <c r="A4" s="1"/>
      <c r="B4" s="1"/>
      <c r="C4" s="10"/>
      <c r="D4" s="277"/>
      <c r="E4" s="277"/>
      <c r="F4" s="277"/>
      <c r="G4" s="277"/>
      <c r="H4" s="277"/>
      <c r="I4" s="277"/>
      <c r="J4" s="61"/>
      <c r="K4" s="304"/>
      <c r="L4" s="304"/>
      <c r="M4" s="304"/>
      <c r="N4" s="304"/>
      <c r="O4" s="304"/>
      <c r="P4" s="304"/>
      <c r="Q4" s="304"/>
      <c r="R4" s="304"/>
      <c r="S4" s="304"/>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8.0000000000000002E-3</v>
      </c>
      <c r="F7" s="48">
        <f>IF($K$24&lt;&gt;"",IF($K$24=3,3,IF($K$24=2,2,1)),"")</f>
        <v>3</v>
      </c>
      <c r="G7" s="48">
        <f>IF($N$24&lt;&gt;"",IF($N$24=3,3,IF($N$24=2,2,1)),"")</f>
        <v>1</v>
      </c>
      <c r="H7" s="48" t="str">
        <f>IF($Q$24&lt;&gt;"",IF($Q$24=3,3,IF($Q$24=2,2,1)),"")</f>
        <v/>
      </c>
      <c r="I7" s="48" t="str">
        <f>IF($T$24&lt;&gt;"",IF($T$24=3,3,IF($T$24=2,2,1)),"")</f>
        <v/>
      </c>
      <c r="J7" s="32"/>
      <c r="K7" s="49" t="s">
        <v>224</v>
      </c>
      <c r="L7" s="46" t="s">
        <v>225</v>
      </c>
      <c r="M7" s="267" t="s">
        <v>319</v>
      </c>
      <c r="N7" s="267"/>
      <c r="O7" s="267"/>
      <c r="P7" s="46" t="s">
        <v>227</v>
      </c>
      <c r="Q7" s="267" t="s">
        <v>320</v>
      </c>
      <c r="R7" s="267"/>
      <c r="S7" s="267"/>
      <c r="U7" s="25"/>
      <c r="V7" s="25"/>
      <c r="W7" s="9"/>
      <c r="X7" s="9"/>
      <c r="Y7" s="23"/>
    </row>
    <row r="8" spans="1:28" ht="27"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0.02</v>
      </c>
      <c r="F10" s="52" t="str">
        <f>IF(K20="D","D","-")</f>
        <v>-</v>
      </c>
      <c r="G10" s="52" t="str">
        <f>IF(N20="D","D","-")</f>
        <v>D</v>
      </c>
      <c r="H10" s="52" t="str">
        <f>IF(Q20="D","D","-")</f>
        <v>-</v>
      </c>
      <c r="I10" s="52" t="str">
        <f>IF(T20="D","D","-")</f>
        <v>D</v>
      </c>
      <c r="J10" s="32"/>
      <c r="K10" s="66" t="s">
        <v>230</v>
      </c>
      <c r="L10" s="50" t="s">
        <v>231</v>
      </c>
      <c r="M10" s="75">
        <v>3</v>
      </c>
      <c r="N10" s="50" t="s">
        <v>232</v>
      </c>
      <c r="O10" s="53" t="s">
        <v>302</v>
      </c>
      <c r="P10" s="50" t="s">
        <v>233</v>
      </c>
      <c r="Q10" s="92" t="s">
        <v>321</v>
      </c>
      <c r="R10" s="50" t="s">
        <v>235</v>
      </c>
      <c r="S10" s="92" t="s">
        <v>303</v>
      </c>
      <c r="T10" s="50" t="s">
        <v>237</v>
      </c>
      <c r="U10" s="53" t="s">
        <v>322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1.3999999999999999E-2</v>
      </c>
      <c r="F12" s="268">
        <f>IF($L$24&lt;&gt;"",IF($L$24=3,3,IF($L$24=2,2,1)),"")</f>
        <v>3</v>
      </c>
      <c r="G12" s="268">
        <f>IF($O$24&lt;&gt;"",IF($O$24=3,3,IF($O$24=2,2,1)),"")</f>
        <v>3</v>
      </c>
      <c r="H12" s="268">
        <f>IF($R$24&lt;&gt;"",IF($R$24=3,3,IF($R$24=2,2,1)),"")</f>
        <v>2</v>
      </c>
      <c r="I12" s="268">
        <f>IF($U$24&lt;&gt;"",IF($U$24=3,3,IF($U$24=2,2,1)),"")</f>
        <v>1</v>
      </c>
      <c r="J12" s="32"/>
      <c r="K12" s="300" t="s">
        <v>240</v>
      </c>
      <c r="L12" s="274"/>
      <c r="M12" s="280"/>
      <c r="N12" s="299"/>
      <c r="O12" s="300" t="s">
        <v>240</v>
      </c>
      <c r="P12" s="274"/>
      <c r="Q12" s="280"/>
      <c r="R12" s="299"/>
      <c r="S12" s="274" t="s">
        <v>240</v>
      </c>
      <c r="T12" s="274"/>
      <c r="U12" s="280"/>
      <c r="V12" s="299"/>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246</v>
      </c>
      <c r="O14" s="266" t="s">
        <v>247</v>
      </c>
      <c r="P14" s="286" t="s">
        <v>323</v>
      </c>
      <c r="Q14" s="286"/>
      <c r="R14" s="265" t="s">
        <v>305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306</v>
      </c>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324</v>
      </c>
      <c r="L18" s="264"/>
      <c r="M18" s="265"/>
      <c r="N18" s="266" t="s">
        <v>325</v>
      </c>
      <c r="O18" s="264"/>
      <c r="P18" s="265"/>
      <c r="Q18" s="266" t="s">
        <v>326</v>
      </c>
      <c r="R18" s="264"/>
      <c r="S18" s="265"/>
      <c r="T18" s="264" t="s">
        <v>327</v>
      </c>
      <c r="U18" s="264"/>
      <c r="V18" s="265"/>
      <c r="W18" s="9"/>
      <c r="X18" s="9"/>
      <c r="Y18" s="23"/>
    </row>
    <row r="19" spans="1:25" ht="124.5" customHeight="1" outlineLevel="2" x14ac:dyDescent="0.3">
      <c r="A19" s="1"/>
      <c r="B19" s="283"/>
      <c r="C19" s="283"/>
      <c r="D19" s="42" t="s">
        <v>257</v>
      </c>
      <c r="E19" s="264" t="s">
        <v>328</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78</v>
      </c>
      <c r="F20" s="288"/>
      <c r="G20" s="288"/>
      <c r="H20" s="288"/>
      <c r="I20" s="288"/>
      <c r="J20" s="25"/>
      <c r="K20" s="266" t="s">
        <v>259</v>
      </c>
      <c r="L20" s="264"/>
      <c r="M20" s="265"/>
      <c r="N20" s="266" t="s">
        <v>260</v>
      </c>
      <c r="O20" s="264"/>
      <c r="P20" s="265"/>
      <c r="Q20" s="266" t="s">
        <v>259</v>
      </c>
      <c r="R20" s="264"/>
      <c r="S20" s="265"/>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292</v>
      </c>
      <c r="L21" s="264"/>
      <c r="M21" s="265"/>
      <c r="N21" s="266" t="s">
        <v>329</v>
      </c>
      <c r="O21" s="264"/>
      <c r="P21" s="265"/>
      <c r="Q21" s="266" t="s">
        <v>330</v>
      </c>
      <c r="R21" s="264"/>
      <c r="S21" s="265"/>
      <c r="T21" s="264" t="s">
        <v>331</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1</v>
      </c>
      <c r="O24" s="40">
        <v>3</v>
      </c>
      <c r="P24" s="289"/>
      <c r="Q24" s="56"/>
      <c r="R24" s="40">
        <v>2</v>
      </c>
      <c r="S24" s="289"/>
      <c r="T24" s="40"/>
      <c r="U24" s="40">
        <v>1</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70" customHeight="1" x14ac:dyDescent="0.3">
      <c r="A26" s="1"/>
      <c r="B26" s="9"/>
      <c r="C26" s="9"/>
      <c r="D26" s="9"/>
      <c r="F26" s="291"/>
      <c r="G26" s="292" t="s">
        <v>242</v>
      </c>
      <c r="H26" s="292"/>
      <c r="I26" s="292"/>
      <c r="K26" s="58" t="s">
        <v>332</v>
      </c>
      <c r="L26" s="45"/>
      <c r="M26" s="289"/>
      <c r="N26" s="58"/>
      <c r="O26" s="45" t="s">
        <v>1096</v>
      </c>
      <c r="P26" s="289"/>
      <c r="Q26" s="58" t="s">
        <v>333</v>
      </c>
      <c r="R26" s="45" t="s">
        <v>334</v>
      </c>
      <c r="S26" s="289"/>
      <c r="T26" s="45" t="s">
        <v>335</v>
      </c>
      <c r="U26" s="45" t="s">
        <v>336</v>
      </c>
      <c r="V26" s="289"/>
      <c r="X26" s="9"/>
      <c r="Y26" s="23"/>
    </row>
    <row r="27" spans="1:25" ht="18" customHeight="1" x14ac:dyDescent="0.3">
      <c r="A27" s="1"/>
      <c r="B27" s="9"/>
      <c r="C27" s="9"/>
      <c r="D27" s="9"/>
      <c r="F27" s="291"/>
      <c r="G27" s="292" t="s">
        <v>269</v>
      </c>
      <c r="H27" s="292"/>
      <c r="I27" s="292"/>
      <c r="K27" s="59"/>
      <c r="L27" s="25"/>
      <c r="M27" s="60"/>
      <c r="N27" s="25"/>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25"/>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25"/>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25" t="s">
        <v>337</v>
      </c>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25"/>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25"/>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25"/>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25"/>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25"/>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25"/>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25"/>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25"/>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25"/>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25"/>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25"/>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25"/>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25"/>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25"/>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25"/>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25"/>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25"/>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25"/>
      <c r="O48" s="25"/>
      <c r="P48" s="102"/>
      <c r="Q48" s="59"/>
      <c r="R48" s="25"/>
      <c r="S48" s="60"/>
      <c r="T48" s="59"/>
      <c r="U48" s="25"/>
      <c r="V48" s="60"/>
      <c r="X48" s="9"/>
      <c r="Y48" s="23"/>
    </row>
    <row r="49" spans="1:25" ht="125.25" customHeight="1" x14ac:dyDescent="0.3">
      <c r="A49" s="1"/>
      <c r="B49" s="9"/>
      <c r="C49" s="9"/>
      <c r="D49" s="9"/>
      <c r="F49" s="291"/>
      <c r="G49" s="292"/>
      <c r="H49" s="292"/>
      <c r="I49" s="292"/>
      <c r="K49" s="59"/>
      <c r="L49" s="25"/>
      <c r="M49" s="60"/>
      <c r="N49" s="25"/>
      <c r="O49" s="25"/>
      <c r="P49" s="60"/>
      <c r="Q49" s="59"/>
      <c r="R49" s="25"/>
      <c r="S49" s="60"/>
      <c r="T49" s="59"/>
      <c r="U49" s="25"/>
      <c r="V49" s="60"/>
      <c r="X49" s="9"/>
      <c r="Y49" s="23"/>
    </row>
    <row r="50" spans="1:25" ht="39.75" customHeight="1" x14ac:dyDescent="0.25">
      <c r="S50" s="1"/>
      <c r="V50" s="1"/>
    </row>
    <row r="51" spans="1:25" ht="15" customHeight="1" x14ac:dyDescent="0.25"/>
    <row r="52" spans="1:25" ht="13.5" hidden="1"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975" priority="2" operator="containsText" text="Finalizado">
      <formula>NOT(ISERROR(SEARCH("Finalizado",D15)))</formula>
    </cfRule>
    <cfRule type="containsText" dxfId="974" priority="3" operator="containsText" text="No Planificado">
      <formula>NOT(ISERROR(SEARCH("No Planificado",D15)))</formula>
    </cfRule>
    <cfRule type="containsText" dxfId="973" priority="4" operator="containsText" text="A Tiempo">
      <formula>NOT(ISERROR(SEARCH("A Tiempo",D15)))</formula>
    </cfRule>
    <cfRule type="containsText" dxfId="972"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971" priority="20" operator="containsText" text="PENDIENTE">
      <formula>NOT(ISERROR(SEARCH("PENDIENTE",K25)))</formula>
    </cfRule>
    <cfRule type="containsText" dxfId="970" priority="21" operator="containsText" text="NO VALIDADO">
      <formula>NOT(ISERROR(SEARCH("NO VALIDADO",K25)))</formula>
    </cfRule>
    <cfRule type="containsText" dxfId="969" priority="22" operator="containsText" text="VALIDADO">
      <formula>NOT(ISERROR(SEARCH("VALIDADO",K25)))</formula>
    </cfRule>
  </conditionalFormatting>
  <conditionalFormatting sqref="N25:O25">
    <cfRule type="containsText" dxfId="968" priority="13" operator="containsText" text="PENDIENTE">
      <formula>NOT(ISERROR(SEARCH("PENDIENTE",N25)))</formula>
    </cfRule>
    <cfRule type="containsText" dxfId="967" priority="14" operator="containsText" text="NO VALIDADO">
      <formula>NOT(ISERROR(SEARCH("NO VALIDADO",N25)))</formula>
    </cfRule>
    <cfRule type="containsText" dxfId="966" priority="15" operator="containsText" text="VALIDADO">
      <formula>NOT(ISERROR(SEARCH("VALIDADO",N25)))</formula>
    </cfRule>
  </conditionalFormatting>
  <conditionalFormatting sqref="Q25:R25">
    <cfRule type="containsText" dxfId="965" priority="10" operator="containsText" text="PENDIENTE">
      <formula>NOT(ISERROR(SEARCH("PENDIENTE",Q25)))</formula>
    </cfRule>
    <cfRule type="containsText" dxfId="964" priority="11" operator="containsText" text="NO VALIDADO">
      <formula>NOT(ISERROR(SEARCH("NO VALIDADO",Q25)))</formula>
    </cfRule>
    <cfRule type="containsText" dxfId="963" priority="12" operator="containsText" text="VALIDADO">
      <formula>NOT(ISERROR(SEARCH("VALIDADO",Q25)))</formula>
    </cfRule>
  </conditionalFormatting>
  <conditionalFormatting sqref="T25:U25">
    <cfRule type="containsText" dxfId="962" priority="7" operator="containsText" text="PENDIENTE">
      <formula>NOT(ISERROR(SEARCH("PENDIENTE",T25)))</formula>
    </cfRule>
    <cfRule type="containsText" dxfId="961" priority="8" operator="containsText" text="NO VALIDADO">
      <formula>NOT(ISERROR(SEARCH("NO VALIDADO",T25)))</formula>
    </cfRule>
    <cfRule type="containsText" dxfId="960" priority="9" operator="containsText" text="VALIDADO">
      <formula>NOT(ISERROR(SEARCH("VALIDADO",T25)))</formula>
    </cfRule>
  </conditionalFormatting>
  <dataValidations count="6">
    <dataValidation type="list" allowBlank="1" showInputMessage="1" showErrorMessage="1" sqref="K14:K15 O14:O15 S14:S15" xr:uid="{D8C72832-1DDD-47D2-883D-B4B97BDB84FC}">
      <formula1>"No Iniciado, En Progreso,Finalizado"</formula1>
    </dataValidation>
    <dataValidation type="list" allowBlank="1" showInputMessage="1" showErrorMessage="1" sqref="AB14:AB15 R14:R15 N14:N15 V14:V15" xr:uid="{7913C3AE-F134-483A-8822-EAB8205FA9D0}">
      <formula1>"No Cumple, Parcial, Cumple, Más que Cumple, Mejor Práctica"</formula1>
    </dataValidation>
    <dataValidation type="list" allowBlank="1" showInputMessage="1" showErrorMessage="1" sqref="O10" xr:uid="{0BB128AF-4B56-41B3-8EDB-3E97CD0C2A1E}">
      <formula1>"Alta,Baja,No Planificado"</formula1>
    </dataValidation>
    <dataValidation type="list" allowBlank="1" showInputMessage="1" showErrorMessage="1" sqref="S10 Q10" xr:uid="{8761CF27-7BB9-49B0-B14B-1C5A5BBB5EDE}">
      <formula1>"Junio,Julio,Agosto,Septiembre,Octubre"</formula1>
    </dataValidation>
    <dataValidation type="list" allowBlank="1" showInputMessage="1" showErrorMessage="1" sqref="D10" xr:uid="{251E8367-130D-4A46-92DE-251C847547A8}">
      <formula1>"No Cumple, Parcial,Cumple,Más que Cumple,Mejor Práctica"</formula1>
    </dataValidation>
    <dataValidation type="list" allowBlank="1" showInputMessage="1" showErrorMessage="1" sqref="M12:N12 Q12:R12 U12:V12" xr:uid="{F750D464-03A0-4EE3-8DDA-A4BD52FEBE90}">
      <formula1>"Janeiro,Fevereiro,Março,Abril,Maio,Junho,Julho,Agosto,Setembro,Outubro,Novembro,Dezembro"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5D98EB2-5CC1-428E-BBF7-F9EECB729A50}">
            <x14:iconSet iconSet="3Stars" showValue="0">
              <x14:cfvo type="percent">
                <xm:f>0</xm:f>
              </x14:cfvo>
              <x14:cfvo type="num">
                <xm:f>2</xm:f>
              </x14:cfvo>
              <x14:cfvo type="num">
                <xm:f>3</xm:f>
              </x14:cfvo>
            </x14:iconSet>
          </x14:cfRule>
          <xm:sqref>M10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02043-0973-4545-A592-4DB6C0D50615}">
  <sheetPr codeName="Planilha15"/>
  <dimension ref="A1:AB51"/>
  <sheetViews>
    <sheetView showGridLines="0" zoomScale="50" zoomScaleNormal="50" workbookViewId="0">
      <pane xSplit="3" ySplit="4" topLeftCell="L14"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338</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Cumpre</v>
      </c>
      <c r="E7" s="47">
        <f>IF($D7="Não cumpre",0,IF($D7="Parcial",$E$18*0.4,IF($D7="Cumpre",$E$18*0.7,IF($D7="Mais que cumpre",$E$18*0.85,IF($D7="Melhor Prática",$E$18,0)))))</f>
        <v>1.0499999999999999E-2</v>
      </c>
      <c r="F7" s="48">
        <f>IF($K$24&lt;&gt;"",IF($K$24=3,3,IF($K$24=2,2,1)),"")</f>
        <v>3</v>
      </c>
      <c r="G7" s="48">
        <f>IF($N$24&lt;&gt;"",IF($N$24=3,3,IF($N$24=2,2,1)),"")</f>
        <v>3</v>
      </c>
      <c r="H7" s="48">
        <f>IF($Q$24&lt;&gt;"",IF($Q$24=3,3,IF($Q$24=2,2,1)),"")</f>
        <v>2</v>
      </c>
      <c r="I7" s="48">
        <f>IF($T$24&lt;&gt;"",IF($T$24=3,3,IF($T$24=2,2,1)),"")</f>
        <v>3</v>
      </c>
      <c r="J7" s="32"/>
      <c r="K7" s="49" t="s">
        <v>224</v>
      </c>
      <c r="L7" s="46" t="s">
        <v>225</v>
      </c>
      <c r="M7" s="267" t="s">
        <v>339</v>
      </c>
      <c r="N7" s="267"/>
      <c r="O7" s="267"/>
      <c r="P7" s="46" t="s">
        <v>227</v>
      </c>
      <c r="Q7" s="267" t="s">
        <v>340</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1.4999999999999999E-2</v>
      </c>
      <c r="F10" s="52" t="str">
        <f>IF(K20="D","D","-")</f>
        <v>-</v>
      </c>
      <c r="G10" s="52" t="str">
        <f>IF(N20="D","D","-")</f>
        <v>D</v>
      </c>
      <c r="H10" s="52" t="str">
        <f>IF(Q20="D","D","-")</f>
        <v>-</v>
      </c>
      <c r="I10" s="52" t="str">
        <f>IF(T20="D","D","-")</f>
        <v>-</v>
      </c>
      <c r="J10" s="32"/>
      <c r="K10" s="66" t="s">
        <v>230</v>
      </c>
      <c r="L10" s="50" t="s">
        <v>231</v>
      </c>
      <c r="M10" s="75">
        <v>2</v>
      </c>
      <c r="N10" s="50" t="s">
        <v>232</v>
      </c>
      <c r="O10" s="53" t="s">
        <v>285</v>
      </c>
      <c r="P10" s="50" t="s">
        <v>233</v>
      </c>
      <c r="Q10" s="92" t="s">
        <v>341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1.4999999999999999E-2</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305</v>
      </c>
      <c r="O14" s="266" t="s">
        <v>247</v>
      </c>
      <c r="P14" s="286" t="s">
        <v>323</v>
      </c>
      <c r="Q14" s="286"/>
      <c r="R14" s="265" t="s">
        <v>275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c r="I16" s="9" t="s">
        <v>306</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343</v>
      </c>
      <c r="L18" s="264"/>
      <c r="M18" s="265"/>
      <c r="N18" s="266" t="s">
        <v>344</v>
      </c>
      <c r="O18" s="264"/>
      <c r="P18" s="265"/>
      <c r="Q18" s="266" t="s">
        <v>345</v>
      </c>
      <c r="R18" s="264"/>
      <c r="S18" s="265"/>
      <c r="T18" s="264" t="s">
        <v>346</v>
      </c>
      <c r="U18" s="264"/>
      <c r="V18" s="265"/>
      <c r="W18" s="9"/>
      <c r="X18" s="9"/>
      <c r="Y18" s="23"/>
    </row>
    <row r="19" spans="1:25" ht="124.5" customHeight="1" outlineLevel="2" x14ac:dyDescent="0.3">
      <c r="A19" s="1"/>
      <c r="B19" s="283"/>
      <c r="C19" s="283"/>
      <c r="D19" s="42" t="s">
        <v>257</v>
      </c>
      <c r="E19" s="264" t="s">
        <v>347</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87</v>
      </c>
      <c r="F20" s="288"/>
      <c r="G20" s="288"/>
      <c r="H20" s="288"/>
      <c r="I20" s="288"/>
      <c r="J20" s="25"/>
      <c r="K20" s="266" t="s">
        <v>259</v>
      </c>
      <c r="L20" s="264"/>
      <c r="M20" s="265"/>
      <c r="N20" s="266" t="s">
        <v>260</v>
      </c>
      <c r="O20" s="264"/>
      <c r="P20" s="265"/>
      <c r="Q20" s="266" t="s">
        <v>259</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348</v>
      </c>
      <c r="L21" s="264"/>
      <c r="M21" s="265"/>
      <c r="N21" s="266" t="s">
        <v>349</v>
      </c>
      <c r="O21" s="264"/>
      <c r="P21" s="265"/>
      <c r="Q21" s="266" t="s">
        <v>350</v>
      </c>
      <c r="R21" s="264"/>
      <c r="S21" s="265"/>
      <c r="T21" s="264" t="s">
        <v>351</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2</v>
      </c>
      <c r="R24" s="40">
        <v>3</v>
      </c>
      <c r="S24" s="289"/>
      <c r="T24" s="40">
        <v>3</v>
      </c>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352</v>
      </c>
      <c r="L26" s="45"/>
      <c r="M26" s="289"/>
      <c r="N26" s="45" t="s">
        <v>353</v>
      </c>
      <c r="O26" s="45" t="s">
        <v>1095</v>
      </c>
      <c r="P26" s="289"/>
      <c r="Q26" s="58" t="s">
        <v>354</v>
      </c>
      <c r="R26" s="45" t="s">
        <v>355</v>
      </c>
      <c r="S26" s="289"/>
      <c r="T26" s="45" t="s">
        <v>356</v>
      </c>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30.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959" priority="2" operator="containsText" text="Finalizado">
      <formula>NOT(ISERROR(SEARCH("Finalizado",D15)))</formula>
    </cfRule>
    <cfRule type="containsText" dxfId="958" priority="3" operator="containsText" text="No Planificado">
      <formula>NOT(ISERROR(SEARCH("No Planificado",D15)))</formula>
    </cfRule>
    <cfRule type="containsText" dxfId="957" priority="4" operator="containsText" text="A Tiempo">
      <formula>NOT(ISERROR(SEARCH("A Tiempo",D15)))</formula>
    </cfRule>
    <cfRule type="containsText" dxfId="956"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955" priority="20" operator="containsText" text="PENDIENTE">
      <formula>NOT(ISERROR(SEARCH("PENDIENTE",K25)))</formula>
    </cfRule>
    <cfRule type="containsText" dxfId="954" priority="21" operator="containsText" text="NO VALIDADO">
      <formula>NOT(ISERROR(SEARCH("NO VALIDADO",K25)))</formula>
    </cfRule>
    <cfRule type="containsText" dxfId="953" priority="22" operator="containsText" text="VALIDADO">
      <formula>NOT(ISERROR(SEARCH("VALIDADO",K25)))</formula>
    </cfRule>
  </conditionalFormatting>
  <conditionalFormatting sqref="N25:O25">
    <cfRule type="containsText" dxfId="952" priority="13" operator="containsText" text="PENDIENTE">
      <formula>NOT(ISERROR(SEARCH("PENDIENTE",N25)))</formula>
    </cfRule>
    <cfRule type="containsText" dxfId="951" priority="14" operator="containsText" text="NO VALIDADO">
      <formula>NOT(ISERROR(SEARCH("NO VALIDADO",N25)))</formula>
    </cfRule>
    <cfRule type="containsText" dxfId="950" priority="15" operator="containsText" text="VALIDADO">
      <formula>NOT(ISERROR(SEARCH("VALIDADO",N25)))</formula>
    </cfRule>
  </conditionalFormatting>
  <conditionalFormatting sqref="Q25:R25">
    <cfRule type="containsText" dxfId="949" priority="10" operator="containsText" text="PENDIENTE">
      <formula>NOT(ISERROR(SEARCH("PENDIENTE",Q25)))</formula>
    </cfRule>
    <cfRule type="containsText" dxfId="948" priority="11" operator="containsText" text="NO VALIDADO">
      <formula>NOT(ISERROR(SEARCH("NO VALIDADO",Q25)))</formula>
    </cfRule>
    <cfRule type="containsText" dxfId="947" priority="12" operator="containsText" text="VALIDADO">
      <formula>NOT(ISERROR(SEARCH("VALIDADO",Q25)))</formula>
    </cfRule>
  </conditionalFormatting>
  <conditionalFormatting sqref="T25:U25">
    <cfRule type="containsText" dxfId="946" priority="7" operator="containsText" text="PENDIENTE">
      <formula>NOT(ISERROR(SEARCH("PENDIENTE",T25)))</formula>
    </cfRule>
    <cfRule type="containsText" dxfId="945" priority="8" operator="containsText" text="NO VALIDADO">
      <formula>NOT(ISERROR(SEARCH("NO VALIDADO",T25)))</formula>
    </cfRule>
    <cfRule type="containsText" dxfId="944" priority="9" operator="containsText" text="VALIDADO">
      <formula>NOT(ISERROR(SEARCH("VALIDADO",T25)))</formula>
    </cfRule>
  </conditionalFormatting>
  <dataValidations count="6">
    <dataValidation type="list" allowBlank="1" showInputMessage="1" showErrorMessage="1" sqref="D10" xr:uid="{192DABA0-6216-4A99-BB77-092ADAE1C5F3}">
      <formula1>"No Cumple, Parcial,Cumple,Más que Cumple,Mejor Práctica"</formula1>
    </dataValidation>
    <dataValidation type="list" allowBlank="1" showInputMessage="1" showErrorMessage="1" sqref="S10 Q10" xr:uid="{65298B4F-AA96-4ACB-BA3E-A1F4BBAEE3C5}">
      <formula1>"Junio,Julio,Agosto,Septiembre,Octubre"</formula1>
    </dataValidation>
    <dataValidation type="list" allowBlank="1" showInputMessage="1" showErrorMessage="1" sqref="O10" xr:uid="{EBDC00E8-2D22-4DBC-B02E-563FB1DCDC2A}">
      <formula1>"Alta,Baja,No Planificado"</formula1>
    </dataValidation>
    <dataValidation type="list" allowBlank="1" showInputMessage="1" showErrorMessage="1" sqref="AB14:AB15 R14:R15 N14:N15 V14:V15" xr:uid="{2BA2F6B3-1B63-4C77-8970-B8C11BE71FE9}">
      <formula1>"No Cumple, Parcial, Cumple, Más que Cumple, Mejor Práctica"</formula1>
    </dataValidation>
    <dataValidation type="list" allowBlank="1" showInputMessage="1" showErrorMessage="1" sqref="M12 Q12 U12" xr:uid="{77B4F294-D087-4724-9624-761FCA0A6467}">
      <formula1>"Mayo,Junio,Julio,Agosto,Septiembre,Octubre"</formula1>
    </dataValidation>
    <dataValidation type="list" allowBlank="1" showInputMessage="1" showErrorMessage="1" sqref="K14:K15 O14:O15 S14:S15" xr:uid="{BF8CD8E3-82C1-44C8-967D-E55870DB6680}">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F55871CC-296F-4050-8165-1D72EEA0773A}">
            <x14:iconSet iconSet="3Stars" showValue="0">
              <x14:cfvo type="percent">
                <xm:f>0</xm:f>
              </x14:cfvo>
              <x14:cfvo type="num">
                <xm:f>2</xm:f>
              </x14:cfvo>
              <x14:cfvo type="num">
                <xm:f>3</xm:f>
              </x14:cfvo>
            </x14:iconSet>
          </x14:cfRule>
          <xm:sqref>M10</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A8CB-D0ED-4EDD-82EA-1BC17A22DE9B}">
  <sheetPr codeName="Planilha18"/>
  <dimension ref="A1:AB51"/>
  <sheetViews>
    <sheetView showGridLines="0" zoomScale="50" zoomScaleNormal="50" workbookViewId="0">
      <pane xSplit="3" ySplit="4" topLeftCell="G16"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6" t="s">
        <v>357</v>
      </c>
      <c r="L3" s="303"/>
      <c r="M3" s="303"/>
      <c r="N3" s="303"/>
      <c r="O3" s="303"/>
      <c r="P3" s="303"/>
      <c r="Q3" s="303"/>
      <c r="R3" s="303"/>
      <c r="S3" s="303"/>
      <c r="T3" s="63"/>
      <c r="U3" s="63"/>
      <c r="V3" s="63"/>
      <c r="W3" s="10"/>
      <c r="X3" s="10"/>
      <c r="Y3" s="12"/>
      <c r="Z3" s="12"/>
      <c r="AA3" s="12"/>
    </row>
    <row r="4" spans="1:28" ht="35.25" customHeight="1" x14ac:dyDescent="0.25">
      <c r="A4" s="1"/>
      <c r="B4" s="1"/>
      <c r="C4" s="10"/>
      <c r="D4" s="277"/>
      <c r="E4" s="277"/>
      <c r="F4" s="277"/>
      <c r="G4" s="277"/>
      <c r="H4" s="277"/>
      <c r="I4" s="277"/>
      <c r="J4" s="61"/>
      <c r="K4" s="304"/>
      <c r="L4" s="304"/>
      <c r="M4" s="304"/>
      <c r="N4" s="304"/>
      <c r="O4" s="304"/>
      <c r="P4" s="304"/>
      <c r="Q4" s="304"/>
      <c r="R4" s="304"/>
      <c r="S4" s="304"/>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Cumpre</v>
      </c>
      <c r="E7" s="47">
        <f>IF($D7="Não cumpre",0,IF($D7="Parcial",$E$18*0.4,IF($D7="Cumpre",$E$18*0.7,IF($D7="Mais que cumpre",$E$18*0.85,IF($D7="Melhor Prática",$E$18,0)))))</f>
        <v>1.0499999999999999E-2</v>
      </c>
      <c r="F7" s="48">
        <f>IF($K$24&lt;&gt;"",IF($K$24=3,3,IF($K$24=2,2,1)),"")</f>
        <v>3</v>
      </c>
      <c r="G7" s="48">
        <f>IF($N$24&lt;&gt;"",IF($N$24=3,3,IF($N$24=2,2,1)),"")</f>
        <v>3</v>
      </c>
      <c r="H7" s="48">
        <f>IF($Q$24&lt;&gt;"",IF($Q$24=3,3,IF($Q$24=2,2,1)),"")</f>
        <v>1</v>
      </c>
      <c r="I7" s="48" t="str">
        <f>IF($T$24&lt;&gt;"",IF($T$24=3,3,IF($T$24=2,2,1)),"")</f>
        <v/>
      </c>
      <c r="J7" s="32"/>
      <c r="K7" s="49" t="s">
        <v>224</v>
      </c>
      <c r="L7" s="46" t="s">
        <v>225</v>
      </c>
      <c r="M7" s="267" t="s">
        <v>358</v>
      </c>
      <c r="N7" s="267"/>
      <c r="O7" s="267"/>
      <c r="P7" s="46" t="s">
        <v>227</v>
      </c>
      <c r="Q7" s="267" t="s">
        <v>359</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1.0499999999999999E-2</v>
      </c>
      <c r="F10" s="52" t="str">
        <f>IF(K20="D","D","-")</f>
        <v>-</v>
      </c>
      <c r="G10" s="52" t="str">
        <f>IF(N20="D","D","-")</f>
        <v>D</v>
      </c>
      <c r="H10" s="52" t="str">
        <f>IF(Q20="D","D","-")</f>
        <v>-</v>
      </c>
      <c r="I10" s="52" t="str">
        <f>IF(T20="D","D","-")</f>
        <v>-</v>
      </c>
      <c r="J10" s="32"/>
      <c r="K10" s="66" t="s">
        <v>230</v>
      </c>
      <c r="L10" s="50" t="s">
        <v>231</v>
      </c>
      <c r="M10" s="75">
        <v>1</v>
      </c>
      <c r="N10" s="50" t="s">
        <v>232</v>
      </c>
      <c r="O10" s="53" t="s">
        <v>285</v>
      </c>
      <c r="P10" s="50" t="s">
        <v>233</v>
      </c>
      <c r="Q10" s="92" t="s">
        <v>286</v>
      </c>
      <c r="R10" s="50" t="s">
        <v>235</v>
      </c>
      <c r="S10" s="92" t="s">
        <v>286</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1.0499999999999999E-2</v>
      </c>
      <c r="F12" s="268">
        <f>IF($L$24&lt;&gt;"",IF($L$24=3,3,IF($L$24=2,2,1)),"")</f>
        <v>3</v>
      </c>
      <c r="G12" s="268">
        <f>IF($O$24&lt;&gt;"",IF($O$24=3,3,IF($O$24=2,2,1)),"")</f>
        <v>3</v>
      </c>
      <c r="H12" s="268" t="str">
        <f>IF($R$24&lt;&gt;"",IF($R$24=3,3,IF($R$24=2,2,1)),"")</f>
        <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360</v>
      </c>
      <c r="L18" s="264"/>
      <c r="M18" s="265"/>
      <c r="N18" s="266" t="s">
        <v>361</v>
      </c>
      <c r="O18" s="264"/>
      <c r="P18" s="265"/>
      <c r="Q18" s="266" t="s">
        <v>362</v>
      </c>
      <c r="R18" s="264"/>
      <c r="S18" s="265"/>
      <c r="T18" s="264" t="s">
        <v>363</v>
      </c>
      <c r="U18" s="264"/>
      <c r="V18" s="265"/>
      <c r="W18" s="9"/>
      <c r="X18" s="9"/>
      <c r="Y18" s="23"/>
    </row>
    <row r="19" spans="1:25" ht="124.5" customHeight="1" outlineLevel="2" x14ac:dyDescent="0.3">
      <c r="A19" s="1"/>
      <c r="B19" s="283"/>
      <c r="C19" s="283"/>
      <c r="D19" s="42" t="s">
        <v>257</v>
      </c>
      <c r="E19" s="264" t="s">
        <v>364</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87</v>
      </c>
      <c r="F20" s="288"/>
      <c r="G20" s="288"/>
      <c r="H20" s="288"/>
      <c r="I20" s="288"/>
      <c r="J20" s="25"/>
      <c r="K20" s="266" t="s">
        <v>259</v>
      </c>
      <c r="L20" s="264"/>
      <c r="M20" s="265"/>
      <c r="N20" s="266" t="s">
        <v>260</v>
      </c>
      <c r="O20" s="264"/>
      <c r="P20" s="265"/>
      <c r="Q20" s="266" t="s">
        <v>259</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365</v>
      </c>
      <c r="L21" s="264"/>
      <c r="M21" s="265"/>
      <c r="N21" s="266" t="s">
        <v>366</v>
      </c>
      <c r="O21" s="264"/>
      <c r="P21" s="265"/>
      <c r="Q21" s="266" t="s">
        <v>367</v>
      </c>
      <c r="R21" s="264"/>
      <c r="S21" s="265"/>
      <c r="T21" s="264" t="s">
        <v>368</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1</v>
      </c>
      <c r="R24" s="40"/>
      <c r="S24" s="289"/>
      <c r="T24" s="40"/>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21.25" customHeight="1" x14ac:dyDescent="0.3">
      <c r="A26" s="1"/>
      <c r="B26" s="9"/>
      <c r="C26" s="9"/>
      <c r="D26" s="9"/>
      <c r="F26" s="291"/>
      <c r="G26" s="292" t="s">
        <v>242</v>
      </c>
      <c r="H26" s="292"/>
      <c r="I26" s="292"/>
      <c r="K26" s="58" t="s">
        <v>369</v>
      </c>
      <c r="L26" s="45" t="s">
        <v>1097</v>
      </c>
      <c r="M26" s="289"/>
      <c r="N26" s="58"/>
      <c r="O26" s="45" t="s">
        <v>1097</v>
      </c>
      <c r="P26" s="289"/>
      <c r="Q26" s="58" t="s">
        <v>370</v>
      </c>
      <c r="R26" s="45"/>
      <c r="S26" s="289"/>
      <c r="T26" s="45"/>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94.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943" priority="2" operator="containsText" text="Finalizado">
      <formula>NOT(ISERROR(SEARCH("Finalizado",D15)))</formula>
    </cfRule>
    <cfRule type="containsText" dxfId="942" priority="3" operator="containsText" text="No Planificado">
      <formula>NOT(ISERROR(SEARCH("No Planificado",D15)))</formula>
    </cfRule>
    <cfRule type="containsText" dxfId="941" priority="4" operator="containsText" text="A Tiempo">
      <formula>NOT(ISERROR(SEARCH("A Tiempo",D15)))</formula>
    </cfRule>
    <cfRule type="containsText" dxfId="940"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939" priority="20" operator="containsText" text="PENDIENTE">
      <formula>NOT(ISERROR(SEARCH("PENDIENTE",K25)))</formula>
    </cfRule>
    <cfRule type="containsText" dxfId="938" priority="21" operator="containsText" text="NO VALIDADO">
      <formula>NOT(ISERROR(SEARCH("NO VALIDADO",K25)))</formula>
    </cfRule>
    <cfRule type="containsText" dxfId="937" priority="22" operator="containsText" text="VALIDADO">
      <formula>NOT(ISERROR(SEARCH("VALIDADO",K25)))</formula>
    </cfRule>
  </conditionalFormatting>
  <conditionalFormatting sqref="N25:O25">
    <cfRule type="containsText" dxfId="936" priority="13" operator="containsText" text="PENDIENTE">
      <formula>NOT(ISERROR(SEARCH("PENDIENTE",N25)))</formula>
    </cfRule>
    <cfRule type="containsText" dxfId="935" priority="14" operator="containsText" text="NO VALIDADO">
      <formula>NOT(ISERROR(SEARCH("NO VALIDADO",N25)))</formula>
    </cfRule>
    <cfRule type="containsText" dxfId="934" priority="15" operator="containsText" text="VALIDADO">
      <formula>NOT(ISERROR(SEARCH("VALIDADO",N25)))</formula>
    </cfRule>
  </conditionalFormatting>
  <conditionalFormatting sqref="Q25:R25">
    <cfRule type="containsText" dxfId="933" priority="10" operator="containsText" text="PENDIENTE">
      <formula>NOT(ISERROR(SEARCH("PENDIENTE",Q25)))</formula>
    </cfRule>
    <cfRule type="containsText" dxfId="932" priority="11" operator="containsText" text="NO VALIDADO">
      <formula>NOT(ISERROR(SEARCH("NO VALIDADO",Q25)))</formula>
    </cfRule>
    <cfRule type="containsText" dxfId="931" priority="12" operator="containsText" text="VALIDADO">
      <formula>NOT(ISERROR(SEARCH("VALIDADO",Q25)))</formula>
    </cfRule>
  </conditionalFormatting>
  <conditionalFormatting sqref="T25:U25">
    <cfRule type="containsText" dxfId="930" priority="7" operator="containsText" text="PENDIENTE">
      <formula>NOT(ISERROR(SEARCH("PENDIENTE",T25)))</formula>
    </cfRule>
    <cfRule type="containsText" dxfId="929" priority="8" operator="containsText" text="NO VALIDADO">
      <formula>NOT(ISERROR(SEARCH("NO VALIDADO",T25)))</formula>
    </cfRule>
    <cfRule type="containsText" dxfId="928" priority="9" operator="containsText" text="VALIDADO">
      <formula>NOT(ISERROR(SEARCH("VALIDADO",T25)))</formula>
    </cfRule>
  </conditionalFormatting>
  <dataValidations count="6">
    <dataValidation type="list" allowBlank="1" showInputMessage="1" showErrorMessage="1" sqref="K14:K15 O14:O15 S14:S15" xr:uid="{ED1FD74F-9394-490D-BD82-774C4AE22111}">
      <formula1>"No Iniciado, En Progreso,Finalizado"</formula1>
    </dataValidation>
    <dataValidation type="list" allowBlank="1" showInputMessage="1" showErrorMessage="1" sqref="M12 Q12 U12" xr:uid="{90B65C16-B597-46C1-924D-D02A23C321A7}">
      <formula1>"Mayo,Junio,Julio,Agosto,Septiembre,Octubre"</formula1>
    </dataValidation>
    <dataValidation type="list" allowBlank="1" showInputMessage="1" showErrorMessage="1" sqref="AB14:AB15 R14:R15 N14:N15 V14:V15" xr:uid="{2E8771D3-CDFC-47F7-9316-9F526F50DABC}">
      <formula1>"No Cumple, Parcial, Cumple, Más que Cumple, Mejor Práctica"</formula1>
    </dataValidation>
    <dataValidation type="list" allowBlank="1" showInputMessage="1" showErrorMessage="1" sqref="O10" xr:uid="{F058A6A7-3E25-45B3-868E-6D45702A28B0}">
      <formula1>"Alta,Baja,No Planificado"</formula1>
    </dataValidation>
    <dataValidation type="list" allowBlank="1" showInputMessage="1" showErrorMessage="1" sqref="S10 Q10" xr:uid="{5AECC735-466D-4A09-8BFC-A611860D9143}">
      <formula1>"Junio,Julio,Agosto,Septiembre,Octubre"</formula1>
    </dataValidation>
    <dataValidation type="list" allowBlank="1" showInputMessage="1" showErrorMessage="1" sqref="D10" xr:uid="{1FDEA7DA-BAAF-4268-A8AF-9D80097D5723}">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8C8D86F-854F-4C75-A5A5-67CB10966ECC}">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F463-D924-49B1-BE9E-BF7E5508E069}">
  <sheetPr codeName="Planilha3"/>
  <dimension ref="A1:AD38"/>
  <sheetViews>
    <sheetView showGridLines="0" zoomScale="50" zoomScaleNormal="50" workbookViewId="0">
      <selection activeCell="C16" sqref="C16"/>
    </sheetView>
  </sheetViews>
  <sheetFormatPr defaultColWidth="0" defaultRowHeight="15" zeroHeight="1" x14ac:dyDescent="0.25"/>
  <cols>
    <col min="1" max="2" width="9.140625" customWidth="1"/>
    <col min="3" max="3" width="41.42578125" customWidth="1"/>
    <col min="4" max="29" width="9.140625" customWidth="1"/>
    <col min="30" max="30" width="5.85546875" customWidth="1"/>
    <col min="31" max="16384" width="9.140625" hidden="1"/>
  </cols>
  <sheetData>
    <row r="1" spans="1:30" ht="43.5" x14ac:dyDescent="0.35">
      <c r="A1" s="11"/>
      <c r="B1" s="11"/>
      <c r="C1" s="80" t="s">
        <v>0</v>
      </c>
      <c r="D1" s="11"/>
      <c r="E1" s="11"/>
      <c r="F1" s="11"/>
      <c r="G1" s="11"/>
      <c r="H1" s="11"/>
      <c r="I1" s="11"/>
      <c r="J1" s="11"/>
      <c r="K1" s="11"/>
      <c r="L1" s="11"/>
      <c r="M1" s="11"/>
      <c r="N1" s="11"/>
      <c r="O1" s="11"/>
      <c r="P1" s="11"/>
      <c r="Q1" s="11"/>
      <c r="R1" s="11"/>
      <c r="S1" s="11"/>
      <c r="T1" s="11"/>
      <c r="U1" s="11"/>
      <c r="V1" s="11"/>
      <c r="W1" s="11"/>
      <c r="X1" s="11"/>
      <c r="Y1" s="11"/>
      <c r="Z1" s="11"/>
      <c r="AA1" s="11"/>
      <c r="AB1" s="11"/>
      <c r="AC1" s="11"/>
      <c r="AD1" s="1"/>
    </row>
    <row r="2" spans="1:30" ht="43.5" x14ac:dyDescent="0.25">
      <c r="A2" s="10"/>
      <c r="B2" s="10"/>
      <c r="C2" s="81" t="s">
        <v>1</v>
      </c>
      <c r="D2" s="230" t="s">
        <v>7</v>
      </c>
      <c r="E2" s="230"/>
      <c r="F2" s="230"/>
      <c r="G2" s="230"/>
      <c r="H2" s="230"/>
      <c r="I2" s="230"/>
      <c r="J2" s="230"/>
      <c r="K2" s="230"/>
      <c r="L2" s="230"/>
      <c r="M2" s="230"/>
      <c r="N2" s="230"/>
      <c r="O2" s="230"/>
      <c r="P2" s="230"/>
      <c r="Q2" s="230"/>
      <c r="R2" s="230"/>
      <c r="S2" s="230"/>
      <c r="T2" s="230"/>
      <c r="U2" s="230"/>
      <c r="V2" s="230"/>
      <c r="W2" s="230"/>
      <c r="X2" s="230"/>
      <c r="Y2" s="230"/>
      <c r="Z2" s="230"/>
      <c r="AA2" s="230"/>
      <c r="AB2" s="230"/>
      <c r="AC2" s="230"/>
      <c r="AD2" s="1"/>
    </row>
    <row r="3" spans="1:3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row>
    <row r="5" spans="1:30"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row>
    <row r="7" spans="1:30"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row>
    <row r="8" spans="1:30"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0"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30"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sheetData>
  <mergeCells count="1">
    <mergeCell ref="D2:AC2"/>
  </mergeCell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F1391-91C8-402D-8784-228CB94BDDB3}">
  <sheetPr codeName="Planilha19"/>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N18" sqref="N18:P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3" t="s">
        <v>371</v>
      </c>
      <c r="L3" s="303"/>
      <c r="M3" s="303"/>
      <c r="N3" s="303"/>
      <c r="O3" s="303"/>
      <c r="P3" s="303"/>
      <c r="Q3" s="303"/>
      <c r="R3" s="303"/>
      <c r="S3" s="303"/>
      <c r="T3" s="63"/>
      <c r="U3" s="63"/>
      <c r="V3" s="63"/>
      <c r="W3" s="10"/>
      <c r="X3" s="10"/>
      <c r="Y3" s="12"/>
      <c r="Z3" s="12"/>
      <c r="AA3" s="12"/>
    </row>
    <row r="4" spans="1:28" ht="35.25" customHeight="1" x14ac:dyDescent="0.25">
      <c r="A4" s="1"/>
      <c r="B4" s="1"/>
      <c r="C4" s="10"/>
      <c r="D4" s="277"/>
      <c r="E4" s="277"/>
      <c r="F4" s="277"/>
      <c r="G4" s="277"/>
      <c r="H4" s="277"/>
      <c r="I4" s="277"/>
      <c r="J4" s="61"/>
      <c r="K4" s="304"/>
      <c r="L4" s="304"/>
      <c r="M4" s="304"/>
      <c r="N4" s="304"/>
      <c r="O4" s="304"/>
      <c r="P4" s="304"/>
      <c r="Q4" s="304"/>
      <c r="R4" s="304"/>
      <c r="S4" s="304"/>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4.0000000000000001E-3</v>
      </c>
      <c r="F7" s="48">
        <f>IF($K$24&lt;&gt;"",IF($K$24=3,3,IF($K$24=2,2,1)),"")</f>
        <v>3</v>
      </c>
      <c r="G7" s="48">
        <f>IF($N$24&lt;&gt;"",IF($N$24=3,3,IF($N$24=2,2,1)),"")</f>
        <v>2</v>
      </c>
      <c r="H7" s="48" t="str">
        <f>IF($Q$24&lt;&gt;"",IF($Q$24=3,3,IF($Q$24=2,2,1)),"")</f>
        <v/>
      </c>
      <c r="I7" s="48" t="str">
        <f>IF($T$24&lt;&gt;"",IF($T$24=3,3,IF($T$24=2,2,1)),"")</f>
        <v/>
      </c>
      <c r="J7" s="32"/>
      <c r="K7" s="49" t="s">
        <v>224</v>
      </c>
      <c r="L7" s="46" t="s">
        <v>225</v>
      </c>
      <c r="M7" s="267" t="s">
        <v>372</v>
      </c>
      <c r="N7" s="267"/>
      <c r="O7" s="267"/>
      <c r="P7" s="46" t="s">
        <v>227</v>
      </c>
      <c r="Q7" s="267" t="s">
        <v>373</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8.5000000000000006E-3</v>
      </c>
      <c r="F10" s="52" t="str">
        <f>IF(K20="D","D","-")</f>
        <v>D</v>
      </c>
      <c r="G10" s="52" t="str">
        <f>IF(N20="D","D","-")</f>
        <v>-</v>
      </c>
      <c r="H10" s="52" t="str">
        <f>IF(Q20="D","D","-")</f>
        <v>D</v>
      </c>
      <c r="I10" s="52" t="str">
        <f>IF(T20="D","D","-")</f>
        <v>-</v>
      </c>
      <c r="J10" s="32"/>
      <c r="K10" s="66" t="s">
        <v>230</v>
      </c>
      <c r="L10" s="50" t="s">
        <v>231</v>
      </c>
      <c r="M10" s="75">
        <v>3</v>
      </c>
      <c r="N10" s="50" t="s">
        <v>232</v>
      </c>
      <c r="O10" s="53" t="s">
        <v>374</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0.01</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305</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250</v>
      </c>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0.01</v>
      </c>
      <c r="F18" s="116"/>
      <c r="G18" s="116"/>
      <c r="H18" s="116"/>
      <c r="I18" s="116"/>
      <c r="J18" s="9"/>
      <c r="K18" s="266" t="s">
        <v>375</v>
      </c>
      <c r="L18" s="264"/>
      <c r="M18" s="265"/>
      <c r="N18" s="266" t="s">
        <v>376</v>
      </c>
      <c r="O18" s="264"/>
      <c r="P18" s="265"/>
      <c r="Q18" s="266" t="s">
        <v>377</v>
      </c>
      <c r="R18" s="264"/>
      <c r="S18" s="265"/>
      <c r="T18" s="264" t="s">
        <v>378</v>
      </c>
      <c r="U18" s="264"/>
      <c r="V18" s="265"/>
      <c r="W18" s="9"/>
      <c r="X18" s="9"/>
      <c r="Y18" s="23"/>
    </row>
    <row r="19" spans="1:25" ht="124.5" customHeight="1" outlineLevel="2" x14ac:dyDescent="0.3">
      <c r="A19" s="1"/>
      <c r="B19" s="283"/>
      <c r="C19" s="283"/>
      <c r="D19" s="42" t="s">
        <v>257</v>
      </c>
      <c r="E19" s="264" t="s">
        <v>379</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92</v>
      </c>
      <c r="F20" s="288"/>
      <c r="G20" s="288"/>
      <c r="H20" s="288"/>
      <c r="I20" s="288"/>
      <c r="J20" s="25"/>
      <c r="K20" s="266" t="s">
        <v>260</v>
      </c>
      <c r="L20" s="264"/>
      <c r="M20" s="265"/>
      <c r="N20" s="266"/>
      <c r="O20" s="264"/>
      <c r="P20" s="265"/>
      <c r="Q20" s="266" t="s">
        <v>260</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380</v>
      </c>
      <c r="L21" s="264"/>
      <c r="M21" s="265"/>
      <c r="N21" s="266" t="s">
        <v>381</v>
      </c>
      <c r="O21" s="264"/>
      <c r="P21" s="265"/>
      <c r="Q21" s="266" t="s">
        <v>382</v>
      </c>
      <c r="R21" s="264"/>
      <c r="S21" s="265"/>
      <c r="T21" s="264" t="s">
        <v>383</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c r="R24" s="40">
        <v>3</v>
      </c>
      <c r="S24" s="289"/>
      <c r="T24" s="40"/>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384</v>
      </c>
      <c r="L26" s="45" t="s">
        <v>1099</v>
      </c>
      <c r="M26" s="289"/>
      <c r="N26" s="58" t="s">
        <v>385</v>
      </c>
      <c r="O26" s="45" t="s">
        <v>386</v>
      </c>
      <c r="P26" s="289"/>
      <c r="Q26" s="58"/>
      <c r="R26" s="45" t="s">
        <v>1195</v>
      </c>
      <c r="S26" s="289"/>
      <c r="T26" s="45"/>
      <c r="U26" s="45" t="s">
        <v>1196</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20.7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927" priority="2" operator="containsText" text="Finalizado">
      <formula>NOT(ISERROR(SEARCH("Finalizado",D15)))</formula>
    </cfRule>
    <cfRule type="containsText" dxfId="926" priority="3" operator="containsText" text="No Planificado">
      <formula>NOT(ISERROR(SEARCH("No Planificado",D15)))</formula>
    </cfRule>
    <cfRule type="containsText" dxfId="925" priority="4" operator="containsText" text="A Tiempo">
      <formula>NOT(ISERROR(SEARCH("A Tiempo",D15)))</formula>
    </cfRule>
    <cfRule type="containsText" dxfId="924"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923" priority="20" operator="containsText" text="PENDIENTE">
      <formula>NOT(ISERROR(SEARCH("PENDIENTE",K25)))</formula>
    </cfRule>
    <cfRule type="containsText" dxfId="922" priority="21" operator="containsText" text="NO VALIDADO">
      <formula>NOT(ISERROR(SEARCH("NO VALIDADO",K25)))</formula>
    </cfRule>
    <cfRule type="containsText" dxfId="921" priority="22" operator="containsText" text="VALIDADO">
      <formula>NOT(ISERROR(SEARCH("VALIDADO",K25)))</formula>
    </cfRule>
  </conditionalFormatting>
  <conditionalFormatting sqref="N25:O25">
    <cfRule type="containsText" dxfId="920" priority="13" operator="containsText" text="PENDIENTE">
      <formula>NOT(ISERROR(SEARCH("PENDIENTE",N25)))</formula>
    </cfRule>
    <cfRule type="containsText" dxfId="919" priority="14" operator="containsText" text="NO VALIDADO">
      <formula>NOT(ISERROR(SEARCH("NO VALIDADO",N25)))</formula>
    </cfRule>
    <cfRule type="containsText" dxfId="918" priority="15" operator="containsText" text="VALIDADO">
      <formula>NOT(ISERROR(SEARCH("VALIDADO",N25)))</formula>
    </cfRule>
  </conditionalFormatting>
  <conditionalFormatting sqref="Q25:R25">
    <cfRule type="containsText" dxfId="917" priority="10" operator="containsText" text="PENDIENTE">
      <formula>NOT(ISERROR(SEARCH("PENDIENTE",Q25)))</formula>
    </cfRule>
    <cfRule type="containsText" dxfId="916" priority="11" operator="containsText" text="NO VALIDADO">
      <formula>NOT(ISERROR(SEARCH("NO VALIDADO",Q25)))</formula>
    </cfRule>
    <cfRule type="containsText" dxfId="915" priority="12" operator="containsText" text="VALIDADO">
      <formula>NOT(ISERROR(SEARCH("VALIDADO",Q25)))</formula>
    </cfRule>
  </conditionalFormatting>
  <conditionalFormatting sqref="T25:U25">
    <cfRule type="containsText" dxfId="914" priority="7" operator="containsText" text="PENDIENTE">
      <formula>NOT(ISERROR(SEARCH("PENDIENTE",T25)))</formula>
    </cfRule>
    <cfRule type="containsText" dxfId="913" priority="8" operator="containsText" text="NO VALIDADO">
      <formula>NOT(ISERROR(SEARCH("NO VALIDADO",T25)))</formula>
    </cfRule>
    <cfRule type="containsText" dxfId="912" priority="9" operator="containsText" text="VALIDADO">
      <formula>NOT(ISERROR(SEARCH("VALIDADO",T25)))</formula>
    </cfRule>
  </conditionalFormatting>
  <dataValidations count="6">
    <dataValidation type="list" allowBlank="1" showInputMessage="1" showErrorMessage="1" sqref="D10" xr:uid="{6BFF18E7-4A9B-4593-965C-692396AF9967}">
      <formula1>"No Cumple, Parcial,Cumple,Más que Cumple,Mejor Práctica"</formula1>
    </dataValidation>
    <dataValidation type="list" allowBlank="1" showInputMessage="1" showErrorMessage="1" sqref="S10 Q10" xr:uid="{1CAD98B4-D174-46F1-B8E6-E09E7D75EF30}">
      <formula1>"Junio,Julio,Agosto,Septiembre,Octubre"</formula1>
    </dataValidation>
    <dataValidation type="list" allowBlank="1" showInputMessage="1" showErrorMessage="1" sqref="O10" xr:uid="{78C94AEA-C0EC-45CC-9031-5D7A70DB49B4}">
      <formula1>"Alta,Baja,No Planificado"</formula1>
    </dataValidation>
    <dataValidation type="list" allowBlank="1" showInputMessage="1" showErrorMessage="1" sqref="AB14:AB15 R14:R15 N14:N15 V14:V15" xr:uid="{C06D2590-4A47-4B3F-8D85-8CADBF92FE40}">
      <formula1>"No Cumple, Parcial, Cumple, Más que Cumple, Mejor Práctica"</formula1>
    </dataValidation>
    <dataValidation type="list" allowBlank="1" showInputMessage="1" showErrorMessage="1" sqref="M12 Q12 U12" xr:uid="{70888016-E787-4D33-81DE-F1A3CFC4A954}">
      <formula1>"Mayo,Junio,Julio,Agosto,Septiembre,Octubre"</formula1>
    </dataValidation>
    <dataValidation type="list" allowBlank="1" showInputMessage="1" showErrorMessage="1" sqref="K14:K15 O14:O15 S14:S15" xr:uid="{6A816234-903F-404E-BAFE-7A9B68214993}">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18EE0604-064F-41AA-AED7-A956C73EDAA0}">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C765-8970-4F67-90F0-787220A1734C}">
  <sheetPr codeName="Planilha20"/>
  <dimension ref="A1:AB51"/>
  <sheetViews>
    <sheetView showGridLines="0" zoomScale="50" zoomScaleNormal="50" workbookViewId="0">
      <pane xSplit="3" ySplit="4" topLeftCell="D19" activePane="bottomRight" state="frozen"/>
      <selection activeCell="C16" sqref="C16"/>
      <selection pane="topRight" activeCell="C16" sqref="C16"/>
      <selection pane="bottomLeft" activeCell="C16" sqref="C16"/>
      <selection pane="bottomRight" activeCell="N18" sqref="N18:P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387</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2</v>
      </c>
      <c r="G7" s="48" t="str">
        <f>IF($N$24&lt;&gt;"",IF($N$24=3,3,IF($N$24=2,2,1)),"")</f>
        <v/>
      </c>
      <c r="H7" s="48" t="str">
        <f>IF($Q$24&lt;&gt;"",IF($Q$24=3,3,IF($Q$24=2,2,1)),"")</f>
        <v/>
      </c>
      <c r="I7" s="48" t="str">
        <f>IF($T$24&lt;&gt;"",IF($T$24=3,3,IF($T$24=2,2,1)),"")</f>
        <v/>
      </c>
      <c r="J7" s="32"/>
      <c r="K7" s="49" t="s">
        <v>224</v>
      </c>
      <c r="L7" s="46" t="s">
        <v>225</v>
      </c>
      <c r="M7" s="267" t="s">
        <v>388</v>
      </c>
      <c r="N7" s="267"/>
      <c r="O7" s="267"/>
      <c r="P7" s="46" t="s">
        <v>227</v>
      </c>
      <c r="Q7" s="267" t="s">
        <v>389</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1.3999999999999999E-2</v>
      </c>
      <c r="F10" s="52" t="str">
        <f>IF(K20="D","D","-")</f>
        <v>D</v>
      </c>
      <c r="G10" s="52" t="str">
        <f>IF(N20="D","D","-")</f>
        <v>-</v>
      </c>
      <c r="H10" s="52" t="str">
        <f>IF(Q20="D","D","-")</f>
        <v>D</v>
      </c>
      <c r="I10" s="52" t="str">
        <f>IF(T20="D","D","-")</f>
        <v>-</v>
      </c>
      <c r="J10" s="32"/>
      <c r="K10" s="66" t="s">
        <v>230</v>
      </c>
      <c r="L10" s="50" t="s">
        <v>231</v>
      </c>
      <c r="M10" s="75">
        <v>3</v>
      </c>
      <c r="N10" s="50" t="s">
        <v>232</v>
      </c>
      <c r="O10" s="53" t="s">
        <v>374</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Parcial</v>
      </c>
      <c r="E12" s="273">
        <f>IF($D12="Não cumpre",0,IF($D12="Parcial",$E$18*0.4,IF($D12="Cumpre",$E$18*0.7,IF($D12="Mais que cumpre",$E$18*0.85,IF($D12="Melhor Prática",$E$18,0)))))</f>
        <v>8.0000000000000002E-3</v>
      </c>
      <c r="F12" s="268">
        <f>IF($L$24&lt;&gt;"",IF($L$24=3,3,IF($L$24=2,2,1)),"")</f>
        <v>3</v>
      </c>
      <c r="G12" s="268" t="str">
        <f>IF($O$24&lt;&gt;"",IF($O$24=3,3,IF($O$24=2,2,1)),"")</f>
        <v/>
      </c>
      <c r="H12" s="268" t="str">
        <f>IF($R$24&lt;&gt;"",IF($R$24=3,3,IF($R$24=2,2,1)),"")</f>
        <v/>
      </c>
      <c r="I12" s="268" t="str">
        <f>IF($U$24&lt;&gt;"",IF($U$24=3,3,IF($U$24=2,2,1)),"")</f>
        <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390</v>
      </c>
      <c r="O14" s="266" t="s">
        <v>247</v>
      </c>
      <c r="P14" s="286"/>
      <c r="Q14" s="286"/>
      <c r="R14" s="265" t="s">
        <v>246</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391</v>
      </c>
      <c r="L18" s="264"/>
      <c r="M18" s="265"/>
      <c r="N18" s="266" t="s">
        <v>392</v>
      </c>
      <c r="O18" s="264"/>
      <c r="P18" s="265"/>
      <c r="Q18" s="266" t="s">
        <v>393</v>
      </c>
      <c r="R18" s="264"/>
      <c r="S18" s="265"/>
      <c r="T18" s="264" t="s">
        <v>394</v>
      </c>
      <c r="U18" s="264"/>
      <c r="V18" s="265"/>
      <c r="W18" s="9"/>
      <c r="X18" s="9"/>
      <c r="Y18" s="23"/>
    </row>
    <row r="19" spans="1:25" ht="124.5" customHeight="1" outlineLevel="2" x14ac:dyDescent="0.3">
      <c r="A19" s="1"/>
      <c r="B19" s="283"/>
      <c r="C19" s="283"/>
      <c r="D19" s="42" t="s">
        <v>257</v>
      </c>
      <c r="E19" s="264" t="s">
        <v>311</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92</v>
      </c>
      <c r="F20" s="288"/>
      <c r="G20" s="288"/>
      <c r="H20" s="288"/>
      <c r="I20" s="288"/>
      <c r="J20" s="25"/>
      <c r="K20" s="266" t="s">
        <v>260</v>
      </c>
      <c r="L20" s="264"/>
      <c r="M20" s="265"/>
      <c r="N20" s="266"/>
      <c r="O20" s="264"/>
      <c r="P20" s="265"/>
      <c r="Q20" s="266" t="s">
        <v>260</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395</v>
      </c>
      <c r="L21" s="264"/>
      <c r="M21" s="265"/>
      <c r="N21" s="266" t="s">
        <v>396</v>
      </c>
      <c r="O21" s="264"/>
      <c r="P21" s="265"/>
      <c r="Q21" s="266" t="s">
        <v>397</v>
      </c>
      <c r="R21" s="264"/>
      <c r="S21" s="265"/>
      <c r="T21" s="264" t="s">
        <v>368</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2</v>
      </c>
      <c r="L24" s="40">
        <v>3</v>
      </c>
      <c r="M24" s="289"/>
      <c r="N24" s="56"/>
      <c r="O24" s="40"/>
      <c r="P24" s="289"/>
      <c r="Q24" s="56"/>
      <c r="R24" s="40"/>
      <c r="S24" s="289"/>
      <c r="T24" s="40"/>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398</v>
      </c>
      <c r="L26" s="45" t="s">
        <v>1098</v>
      </c>
      <c r="M26" s="289"/>
      <c r="N26" s="58"/>
      <c r="O26" s="45"/>
      <c r="P26" s="289"/>
      <c r="Q26" s="58"/>
      <c r="R26" s="45"/>
      <c r="S26" s="289"/>
      <c r="T26" s="45"/>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911" priority="2" operator="containsText" text="Finalizado">
      <formula>NOT(ISERROR(SEARCH("Finalizado",D15)))</formula>
    </cfRule>
    <cfRule type="containsText" dxfId="910" priority="3" operator="containsText" text="No Planificado">
      <formula>NOT(ISERROR(SEARCH("No Planificado",D15)))</formula>
    </cfRule>
    <cfRule type="containsText" dxfId="909" priority="4" operator="containsText" text="A Tiempo">
      <formula>NOT(ISERROR(SEARCH("A Tiempo",D15)))</formula>
    </cfRule>
    <cfRule type="containsText" dxfId="908"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907" priority="20" operator="containsText" text="PENDIENTE">
      <formula>NOT(ISERROR(SEARCH("PENDIENTE",K25)))</formula>
    </cfRule>
    <cfRule type="containsText" dxfId="906" priority="21" operator="containsText" text="NO VALIDADO">
      <formula>NOT(ISERROR(SEARCH("NO VALIDADO",K25)))</formula>
    </cfRule>
    <cfRule type="containsText" dxfId="905" priority="22" operator="containsText" text="VALIDADO">
      <formula>NOT(ISERROR(SEARCH("VALIDADO",K25)))</formula>
    </cfRule>
  </conditionalFormatting>
  <conditionalFormatting sqref="N25:O25">
    <cfRule type="containsText" dxfId="904" priority="13" operator="containsText" text="PENDIENTE">
      <formula>NOT(ISERROR(SEARCH("PENDIENTE",N25)))</formula>
    </cfRule>
    <cfRule type="containsText" dxfId="903" priority="14" operator="containsText" text="NO VALIDADO">
      <formula>NOT(ISERROR(SEARCH("NO VALIDADO",N25)))</formula>
    </cfRule>
    <cfRule type="containsText" dxfId="902" priority="15" operator="containsText" text="VALIDADO">
      <formula>NOT(ISERROR(SEARCH("VALIDADO",N25)))</formula>
    </cfRule>
  </conditionalFormatting>
  <conditionalFormatting sqref="Q25:R25">
    <cfRule type="containsText" dxfId="901" priority="10" operator="containsText" text="PENDIENTE">
      <formula>NOT(ISERROR(SEARCH("PENDIENTE",Q25)))</formula>
    </cfRule>
    <cfRule type="containsText" dxfId="900" priority="11" operator="containsText" text="NO VALIDADO">
      <formula>NOT(ISERROR(SEARCH("NO VALIDADO",Q25)))</formula>
    </cfRule>
    <cfRule type="containsText" dxfId="899" priority="12" operator="containsText" text="VALIDADO">
      <formula>NOT(ISERROR(SEARCH("VALIDADO",Q25)))</formula>
    </cfRule>
  </conditionalFormatting>
  <conditionalFormatting sqref="T25:U25">
    <cfRule type="containsText" dxfId="898" priority="7" operator="containsText" text="PENDIENTE">
      <formula>NOT(ISERROR(SEARCH("PENDIENTE",T25)))</formula>
    </cfRule>
    <cfRule type="containsText" dxfId="897" priority="8" operator="containsText" text="NO VALIDADO">
      <formula>NOT(ISERROR(SEARCH("NO VALIDADO",T25)))</formula>
    </cfRule>
    <cfRule type="containsText" dxfId="896" priority="9" operator="containsText" text="VALIDADO">
      <formula>NOT(ISERROR(SEARCH("VALIDADO",T25)))</formula>
    </cfRule>
  </conditionalFormatting>
  <dataValidations count="6">
    <dataValidation type="list" allowBlank="1" showInputMessage="1" showErrorMessage="1" sqref="K14:K15 O14:O15 S14:S15" xr:uid="{EB2F7FFA-7541-43DE-BB64-4801B217714C}">
      <formula1>"No Iniciado, En Progreso,Finalizado"</formula1>
    </dataValidation>
    <dataValidation type="list" allowBlank="1" showInputMessage="1" showErrorMessage="1" sqref="M12 Q12 U12" xr:uid="{53EA43E0-9DEB-4E71-8395-F91374D7CE16}">
      <formula1>"Mayo,Junio,Julio,Agosto,Septiembre,Octubre"</formula1>
    </dataValidation>
    <dataValidation type="list" allowBlank="1" showInputMessage="1" showErrorMessage="1" sqref="AB14:AB15 R14:R15 N14:N15 V14:V15" xr:uid="{17B0F897-31EA-41D7-9094-716B00485185}">
      <formula1>"No Cumple, Parcial, Cumple, Más que Cumple, Mejor Práctica"</formula1>
    </dataValidation>
    <dataValidation type="list" allowBlank="1" showInputMessage="1" showErrorMessage="1" sqref="O10" xr:uid="{941CCE3D-197F-4251-A2D8-AA1447D25C09}">
      <formula1>"Alta,Baja,No Planificado"</formula1>
    </dataValidation>
    <dataValidation type="list" allowBlank="1" showInputMessage="1" showErrorMessage="1" sqref="S10 Q10" xr:uid="{7BA26E72-E641-492B-BC20-EF745FDC4B77}">
      <formula1>"Junio,Julio,Agosto,Septiembre,Octubre"</formula1>
    </dataValidation>
    <dataValidation type="list" allowBlank="1" showInputMessage="1" showErrorMessage="1" sqref="D10" xr:uid="{20EE530D-23EB-480D-B236-8EE968DBDE76}">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4949690-7C58-465C-81CE-089BFB2C0DF5}">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CCC9C-C7D2-475D-A99B-35BBEA925710}">
  <sheetPr codeName="Planilha21"/>
  <dimension ref="A1:AB51"/>
  <sheetViews>
    <sheetView showGridLines="0" zoomScale="50" zoomScaleNormal="50" workbookViewId="0">
      <pane xSplit="3" ySplit="4" topLeftCell="G24"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399</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t="str">
        <f>IF($N$24&lt;&gt;"",IF($N$24=3,3,IF($N$24=2,2,1)),"")</f>
        <v/>
      </c>
      <c r="H7" s="48" t="str">
        <f>IF($Q$24&lt;&gt;"",IF($Q$24=3,3,IF($Q$24=2,2,1)),"")</f>
        <v/>
      </c>
      <c r="I7" s="48" t="str">
        <f>IF($T$24&lt;&gt;"",IF($T$24=3,3,IF($T$24=2,2,1)),"")</f>
        <v/>
      </c>
      <c r="J7" s="32"/>
      <c r="K7" s="49" t="s">
        <v>224</v>
      </c>
      <c r="L7" s="46" t="s">
        <v>225</v>
      </c>
      <c r="M7" s="267" t="s">
        <v>400</v>
      </c>
      <c r="N7" s="267"/>
      <c r="O7" s="267"/>
      <c r="P7" s="46" t="s">
        <v>227</v>
      </c>
      <c r="Q7" s="267" t="s">
        <v>401</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1.7499999999999998E-2</v>
      </c>
      <c r="F10" s="52" t="str">
        <f>IF(K20="D","D","-")</f>
        <v>D</v>
      </c>
      <c r="G10" s="52" t="str">
        <f>IF(N20="D","D","-")</f>
        <v>D</v>
      </c>
      <c r="H10" s="52" t="str">
        <f>IF(Q20="D","D","-")</f>
        <v>D</v>
      </c>
      <c r="I10" s="52" t="str">
        <f>IF(T20="D","D","-")</f>
        <v>-</v>
      </c>
      <c r="J10" s="32"/>
      <c r="K10" s="66" t="s">
        <v>230</v>
      </c>
      <c r="L10" s="50" t="s">
        <v>231</v>
      </c>
      <c r="M10" s="75">
        <v>1</v>
      </c>
      <c r="N10" s="50" t="s">
        <v>232</v>
      </c>
      <c r="O10" s="53" t="s">
        <v>302</v>
      </c>
      <c r="P10" s="50" t="s">
        <v>233</v>
      </c>
      <c r="Q10" s="92" t="s">
        <v>321</v>
      </c>
      <c r="R10" s="50" t="s">
        <v>235</v>
      </c>
      <c r="S10" s="92" t="s">
        <v>303</v>
      </c>
      <c r="T10" s="50" t="s">
        <v>342</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Parcial</v>
      </c>
      <c r="E12" s="273">
        <f>IF($D12="Não cumpre",0,IF($D12="Parcial",$E$18*0.4,IF($D12="Cumpre",$E$18*0.7,IF($D12="Mais que cumpre",$E$18*0.85,IF($D12="Melhor Prática",$E$18,0)))))</f>
        <v>1.0000000000000002E-2</v>
      </c>
      <c r="F12" s="268">
        <f>IF($L$24&lt;&gt;"",IF($L$24=3,3,IF($L$24=2,2,1)),"")</f>
        <v>3</v>
      </c>
      <c r="G12" s="268" t="str">
        <f>IF($O$24&lt;&gt;"",IF($O$24=3,3,IF($O$24=2,2,1)),"")</f>
        <v/>
      </c>
      <c r="H12" s="268" t="str">
        <f>IF($R$24&lt;&gt;"",IF($R$24=3,3,IF($R$24=2,2,1)),"")</f>
        <v/>
      </c>
      <c r="I12" s="268" t="str">
        <f>IF($U$24&lt;&gt;"",IF($U$24=3,3,IF($U$24=2,2,1)),"")</f>
        <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390</v>
      </c>
      <c r="O14" s="266" t="s">
        <v>247</v>
      </c>
      <c r="P14" s="286"/>
      <c r="Q14" s="286"/>
      <c r="R14" s="265" t="s">
        <v>246</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2.5000000000000001E-2</v>
      </c>
      <c r="F18" s="116"/>
      <c r="G18" s="116"/>
      <c r="H18" s="116"/>
      <c r="I18" s="116"/>
      <c r="J18" s="9"/>
      <c r="K18" s="266" t="s">
        <v>402</v>
      </c>
      <c r="L18" s="264"/>
      <c r="M18" s="265"/>
      <c r="N18" s="266" t="s">
        <v>403</v>
      </c>
      <c r="O18" s="264"/>
      <c r="P18" s="265"/>
      <c r="Q18" s="266" t="s">
        <v>404</v>
      </c>
      <c r="R18" s="264"/>
      <c r="S18" s="265"/>
      <c r="T18" s="264" t="s">
        <v>405</v>
      </c>
      <c r="U18" s="264"/>
      <c r="V18" s="265"/>
      <c r="W18" s="9"/>
      <c r="X18" s="9"/>
      <c r="Y18" s="23"/>
    </row>
    <row r="19" spans="1:25" ht="124.5" customHeight="1" outlineLevel="2" x14ac:dyDescent="0.3">
      <c r="A19" s="1"/>
      <c r="B19" s="283"/>
      <c r="C19" s="283"/>
      <c r="D19" s="42" t="s">
        <v>257</v>
      </c>
      <c r="E19" s="264" t="s">
        <v>406</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92</v>
      </c>
      <c r="F20" s="288"/>
      <c r="G20" s="288"/>
      <c r="H20" s="288"/>
      <c r="I20" s="288"/>
      <c r="J20" s="25"/>
      <c r="K20" s="266" t="s">
        <v>260</v>
      </c>
      <c r="L20" s="264"/>
      <c r="M20" s="265"/>
      <c r="N20" s="266" t="s">
        <v>260</v>
      </c>
      <c r="O20" s="264"/>
      <c r="P20" s="265"/>
      <c r="Q20" s="266" t="s">
        <v>260</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407</v>
      </c>
      <c r="L21" s="264"/>
      <c r="M21" s="265"/>
      <c r="N21" s="266" t="s">
        <v>408</v>
      </c>
      <c r="O21" s="264"/>
      <c r="P21" s="265"/>
      <c r="Q21" s="266" t="s">
        <v>409</v>
      </c>
      <c r="R21" s="264"/>
      <c r="S21" s="265"/>
      <c r="T21" s="264" t="s">
        <v>410</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c r="O24" s="40"/>
      <c r="P24" s="289" t="s">
        <v>411</v>
      </c>
      <c r="Q24" s="56"/>
      <c r="R24" s="40"/>
      <c r="S24" s="289"/>
      <c r="T24" s="40"/>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412</v>
      </c>
      <c r="L26" s="45" t="s">
        <v>1100</v>
      </c>
      <c r="M26" s="289"/>
      <c r="N26" s="58" t="s">
        <v>413</v>
      </c>
      <c r="O26" s="45"/>
      <c r="P26" s="289"/>
      <c r="Q26" s="58"/>
      <c r="R26" s="45"/>
      <c r="S26" s="289"/>
      <c r="T26" s="45"/>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L34" s="182" t="s">
        <v>236</v>
      </c>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t="s">
        <v>414</v>
      </c>
      <c r="L35" s="182">
        <f>429+39+5</f>
        <v>473</v>
      </c>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t="s">
        <v>415</v>
      </c>
      <c r="L36" s="182">
        <v>429</v>
      </c>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t="s">
        <v>416</v>
      </c>
      <c r="L37" s="183">
        <f>L36/L35</f>
        <v>0.90697674418604646</v>
      </c>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L38" s="182"/>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t="s">
        <v>414</v>
      </c>
      <c r="L39" s="182">
        <v>26</v>
      </c>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t="s">
        <v>415</v>
      </c>
      <c r="L40" s="182">
        <v>26</v>
      </c>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t="s">
        <v>417</v>
      </c>
      <c r="L41" s="183">
        <f>L40/L39</f>
        <v>1</v>
      </c>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L42" s="182"/>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t="s">
        <v>418</v>
      </c>
      <c r="L43" s="183">
        <f>(L37+L41)/2</f>
        <v>0.95348837209302317</v>
      </c>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895" priority="2" operator="containsText" text="Finalizado">
      <formula>NOT(ISERROR(SEARCH("Finalizado",D15)))</formula>
    </cfRule>
    <cfRule type="containsText" dxfId="894" priority="3" operator="containsText" text="No Planificado">
      <formula>NOT(ISERROR(SEARCH("No Planificado",D15)))</formula>
    </cfRule>
    <cfRule type="containsText" dxfId="893" priority="4" operator="containsText" text="A Tiempo">
      <formula>NOT(ISERROR(SEARCH("A Tiempo",D15)))</formula>
    </cfRule>
    <cfRule type="containsText" dxfId="892"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891" priority="20" operator="containsText" text="PENDIENTE">
      <formula>NOT(ISERROR(SEARCH("PENDIENTE",K25)))</formula>
    </cfRule>
    <cfRule type="containsText" dxfId="890" priority="21" operator="containsText" text="NO VALIDADO">
      <formula>NOT(ISERROR(SEARCH("NO VALIDADO",K25)))</formula>
    </cfRule>
    <cfRule type="containsText" dxfId="889" priority="22" operator="containsText" text="VALIDADO">
      <formula>NOT(ISERROR(SEARCH("VALIDADO",K25)))</formula>
    </cfRule>
  </conditionalFormatting>
  <conditionalFormatting sqref="N25:O25">
    <cfRule type="containsText" dxfId="888" priority="13" operator="containsText" text="PENDIENTE">
      <formula>NOT(ISERROR(SEARCH("PENDIENTE",N25)))</formula>
    </cfRule>
    <cfRule type="containsText" dxfId="887" priority="14" operator="containsText" text="NO VALIDADO">
      <formula>NOT(ISERROR(SEARCH("NO VALIDADO",N25)))</formula>
    </cfRule>
    <cfRule type="containsText" dxfId="886" priority="15" operator="containsText" text="VALIDADO">
      <formula>NOT(ISERROR(SEARCH("VALIDADO",N25)))</formula>
    </cfRule>
  </conditionalFormatting>
  <conditionalFormatting sqref="Q25:R25">
    <cfRule type="containsText" dxfId="885" priority="10" operator="containsText" text="PENDIENTE">
      <formula>NOT(ISERROR(SEARCH("PENDIENTE",Q25)))</formula>
    </cfRule>
    <cfRule type="containsText" dxfId="884" priority="11" operator="containsText" text="NO VALIDADO">
      <formula>NOT(ISERROR(SEARCH("NO VALIDADO",Q25)))</formula>
    </cfRule>
    <cfRule type="containsText" dxfId="883" priority="12" operator="containsText" text="VALIDADO">
      <formula>NOT(ISERROR(SEARCH("VALIDADO",Q25)))</formula>
    </cfRule>
  </conditionalFormatting>
  <conditionalFormatting sqref="T25:U25">
    <cfRule type="containsText" dxfId="882" priority="7" operator="containsText" text="PENDIENTE">
      <formula>NOT(ISERROR(SEARCH("PENDIENTE",T25)))</formula>
    </cfRule>
    <cfRule type="containsText" dxfId="881" priority="8" operator="containsText" text="NO VALIDADO">
      <formula>NOT(ISERROR(SEARCH("NO VALIDADO",T25)))</formula>
    </cfRule>
    <cfRule type="containsText" dxfId="880" priority="9" operator="containsText" text="VALIDADO">
      <formula>NOT(ISERROR(SEARCH("VALIDADO",T25)))</formula>
    </cfRule>
  </conditionalFormatting>
  <dataValidations count="6">
    <dataValidation type="list" allowBlank="1" showInputMessage="1" showErrorMessage="1" sqref="D10" xr:uid="{B1176E86-BB95-4E7B-9690-0B16EEBB1E0D}">
      <formula1>"No Cumple, Parcial,Cumple,Más que Cumple,Mejor Práctica"</formula1>
    </dataValidation>
    <dataValidation type="list" allowBlank="1" showInputMessage="1" showErrorMessage="1" sqref="S10 Q10" xr:uid="{149D1C2D-FAF4-4D1B-AE47-8F55B56FC0E6}">
      <formula1>"Junio,Julio,Agosto,Septiembre,Octubre"</formula1>
    </dataValidation>
    <dataValidation type="list" allowBlank="1" showInputMessage="1" showErrorMessage="1" sqref="O10" xr:uid="{F731BACF-33DF-4327-85AF-B94544E09AE9}">
      <formula1>"Alta,Baja,No Planificado"</formula1>
    </dataValidation>
    <dataValidation type="list" allowBlank="1" showInputMessage="1" showErrorMessage="1" sqref="AB14:AB15 R14:R15 N14:N15 V14:V15" xr:uid="{F236FCF4-E44F-4D2D-BCB4-045D7B546791}">
      <formula1>"No Cumple, Parcial, Cumple, Más que Cumple, Mejor Práctica"</formula1>
    </dataValidation>
    <dataValidation type="list" allowBlank="1" showInputMessage="1" showErrorMessage="1" sqref="M12 Q12 U12" xr:uid="{11CBE09C-C09F-47A3-ADD9-4BFABC495CC4}">
      <formula1>"Mayo,Junio,Julio,Agosto,Septiembre,Octubre"</formula1>
    </dataValidation>
    <dataValidation type="list" allowBlank="1" showInputMessage="1" showErrorMessage="1" sqref="K14:K15 O14:O15 S14:S15" xr:uid="{7B07CA62-25E3-4B65-91B0-87428021B3DE}">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22C9F3E-390B-4C9F-ABFF-404ED18ABB55}">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9BEB-6DE2-424E-AE82-A03C1984F974}">
  <sheetPr codeName="Planilha22"/>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419</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2</v>
      </c>
      <c r="G7" s="48">
        <f>IF($N$24&lt;&gt;"",IF($N$24=3,3,IF($N$24=2,2,1)),"")</f>
        <v>2</v>
      </c>
      <c r="H7" s="48">
        <f>IF($Q$24&lt;&gt;"",IF($Q$24=3,3,IF($Q$24=2,2,1)),"")</f>
        <v>2</v>
      </c>
      <c r="I7" s="48" t="str">
        <f>IF($T$24&lt;&gt;"",IF($T$24=3,3,IF($T$24=2,2,1)),"")</f>
        <v/>
      </c>
      <c r="J7" s="32"/>
      <c r="K7" s="49" t="s">
        <v>224</v>
      </c>
      <c r="L7" s="46" t="s">
        <v>225</v>
      </c>
      <c r="M7" s="267" t="s">
        <v>420</v>
      </c>
      <c r="N7" s="267"/>
      <c r="O7" s="267"/>
      <c r="P7" s="46" t="s">
        <v>227</v>
      </c>
      <c r="Q7" s="267" t="s">
        <v>421</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8.5000000000000006E-3</v>
      </c>
      <c r="F10" s="52" t="str">
        <f>IF(K20="D","D","-")</f>
        <v>-</v>
      </c>
      <c r="G10" s="52" t="str">
        <f>IF(N20="D","D","-")</f>
        <v>-</v>
      </c>
      <c r="H10" s="52" t="str">
        <f>IF(Q20="D","D","-")</f>
        <v>-</v>
      </c>
      <c r="I10" s="52" t="str">
        <f>IF(T20="D","D","-")</f>
        <v>-</v>
      </c>
      <c r="J10" s="32"/>
      <c r="K10" s="66" t="s">
        <v>230</v>
      </c>
      <c r="L10" s="50" t="s">
        <v>231</v>
      </c>
      <c r="M10" s="75">
        <v>2</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0.01</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249</v>
      </c>
      <c r="L14" s="286"/>
      <c r="M14" s="286"/>
      <c r="N14" s="265" t="s">
        <v>422</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Finalizado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250</v>
      </c>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0.01</v>
      </c>
      <c r="F18" s="116"/>
      <c r="G18" s="116"/>
      <c r="H18" s="116"/>
      <c r="I18" s="116"/>
      <c r="J18" s="9"/>
      <c r="K18" s="266" t="s">
        <v>423</v>
      </c>
      <c r="L18" s="264"/>
      <c r="M18" s="265"/>
      <c r="N18" s="266" t="s">
        <v>424</v>
      </c>
      <c r="O18" s="264"/>
      <c r="P18" s="265"/>
      <c r="Q18" s="266" t="s">
        <v>425</v>
      </c>
      <c r="R18" s="264"/>
      <c r="S18" s="265"/>
      <c r="T18" s="264" t="s">
        <v>426</v>
      </c>
      <c r="U18" s="264"/>
      <c r="V18" s="265"/>
      <c r="W18" s="9"/>
      <c r="X18" s="9"/>
      <c r="Y18" s="23"/>
    </row>
    <row r="19" spans="1:25" ht="124.5" customHeight="1" outlineLevel="2" x14ac:dyDescent="0.3">
      <c r="A19" s="1"/>
      <c r="B19" s="283"/>
      <c r="C19" s="283"/>
      <c r="D19" s="42" t="s">
        <v>257</v>
      </c>
      <c r="E19" s="264" t="s">
        <v>427</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99</v>
      </c>
      <c r="F20" s="288"/>
      <c r="G20" s="288"/>
      <c r="H20" s="288"/>
      <c r="I20" s="288"/>
      <c r="J20" s="25"/>
      <c r="K20" s="266"/>
      <c r="L20" s="264"/>
      <c r="M20" s="265"/>
      <c r="N20" s="266"/>
      <c r="O20" s="264"/>
      <c r="P20" s="265"/>
      <c r="Q20" s="266"/>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428</v>
      </c>
      <c r="L21" s="264"/>
      <c r="M21" s="265"/>
      <c r="N21" s="266" t="s">
        <v>429</v>
      </c>
      <c r="O21" s="264"/>
      <c r="P21" s="265"/>
      <c r="Q21" s="266" t="s">
        <v>429</v>
      </c>
      <c r="R21" s="264"/>
      <c r="S21" s="265"/>
      <c r="T21" s="264" t="s">
        <v>383</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2</v>
      </c>
      <c r="L24" s="40">
        <v>3</v>
      </c>
      <c r="M24" s="289"/>
      <c r="N24" s="56">
        <v>2</v>
      </c>
      <c r="O24" s="40">
        <v>3</v>
      </c>
      <c r="P24" s="289"/>
      <c r="Q24" s="56">
        <v>2</v>
      </c>
      <c r="R24" s="40">
        <v>3</v>
      </c>
      <c r="S24" s="289"/>
      <c r="T24" s="40"/>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430</v>
      </c>
      <c r="L26" s="45" t="s">
        <v>1101</v>
      </c>
      <c r="M26" s="289"/>
      <c r="N26" s="58" t="s">
        <v>431</v>
      </c>
      <c r="O26" s="45" t="s">
        <v>1159</v>
      </c>
      <c r="P26" s="289"/>
      <c r="Q26" s="58" t="s">
        <v>432</v>
      </c>
      <c r="R26" s="45" t="s">
        <v>1102</v>
      </c>
      <c r="S26" s="289"/>
      <c r="T26" s="45"/>
      <c r="U26" s="45" t="s">
        <v>1197</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879" priority="2" operator="containsText" text="Finalizado">
      <formula>NOT(ISERROR(SEARCH("Finalizado",D15)))</formula>
    </cfRule>
    <cfRule type="containsText" dxfId="878" priority="3" operator="containsText" text="No Planificado">
      <formula>NOT(ISERROR(SEARCH("No Planificado",D15)))</formula>
    </cfRule>
    <cfRule type="containsText" dxfId="877" priority="4" operator="containsText" text="A Tiempo">
      <formula>NOT(ISERROR(SEARCH("A Tiempo",D15)))</formula>
    </cfRule>
    <cfRule type="containsText" dxfId="876"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875" priority="20" operator="containsText" text="PENDIENTE">
      <formula>NOT(ISERROR(SEARCH("PENDIENTE",K25)))</formula>
    </cfRule>
    <cfRule type="containsText" dxfId="874" priority="21" operator="containsText" text="NO VALIDADO">
      <formula>NOT(ISERROR(SEARCH("NO VALIDADO",K25)))</formula>
    </cfRule>
    <cfRule type="containsText" dxfId="873" priority="22" operator="containsText" text="VALIDADO">
      <formula>NOT(ISERROR(SEARCH("VALIDADO",K25)))</formula>
    </cfRule>
  </conditionalFormatting>
  <conditionalFormatting sqref="N25:O25">
    <cfRule type="containsText" dxfId="872" priority="13" operator="containsText" text="PENDIENTE">
      <formula>NOT(ISERROR(SEARCH("PENDIENTE",N25)))</formula>
    </cfRule>
    <cfRule type="containsText" dxfId="871" priority="14" operator="containsText" text="NO VALIDADO">
      <formula>NOT(ISERROR(SEARCH("NO VALIDADO",N25)))</formula>
    </cfRule>
    <cfRule type="containsText" dxfId="870" priority="15" operator="containsText" text="VALIDADO">
      <formula>NOT(ISERROR(SEARCH("VALIDADO",N25)))</formula>
    </cfRule>
  </conditionalFormatting>
  <conditionalFormatting sqref="Q25:R25">
    <cfRule type="containsText" dxfId="869" priority="10" operator="containsText" text="PENDIENTE">
      <formula>NOT(ISERROR(SEARCH("PENDIENTE",Q25)))</formula>
    </cfRule>
    <cfRule type="containsText" dxfId="868" priority="11" operator="containsText" text="NO VALIDADO">
      <formula>NOT(ISERROR(SEARCH("NO VALIDADO",Q25)))</formula>
    </cfRule>
    <cfRule type="containsText" dxfId="867" priority="12" operator="containsText" text="VALIDADO">
      <formula>NOT(ISERROR(SEARCH("VALIDADO",Q25)))</formula>
    </cfRule>
  </conditionalFormatting>
  <conditionalFormatting sqref="T25:U25">
    <cfRule type="containsText" dxfId="866" priority="7" operator="containsText" text="PENDIENTE">
      <formula>NOT(ISERROR(SEARCH("PENDIENTE",T25)))</formula>
    </cfRule>
    <cfRule type="containsText" dxfId="865" priority="8" operator="containsText" text="NO VALIDADO">
      <formula>NOT(ISERROR(SEARCH("NO VALIDADO",T25)))</formula>
    </cfRule>
    <cfRule type="containsText" dxfId="864" priority="9" operator="containsText" text="VALIDADO">
      <formula>NOT(ISERROR(SEARCH("VALIDADO",T25)))</formula>
    </cfRule>
  </conditionalFormatting>
  <dataValidations count="6">
    <dataValidation type="list" allowBlank="1" showInputMessage="1" showErrorMessage="1" sqref="K14:K15 O14:O15 S14:S15" xr:uid="{7059ECF5-7C64-4B4C-84A3-B1C96736EFC7}">
      <formula1>"No Iniciado, En Progreso,Finalizado"</formula1>
    </dataValidation>
    <dataValidation type="list" allowBlank="1" showInputMessage="1" showErrorMessage="1" sqref="M12 Q12 U12" xr:uid="{08714730-9ABB-4359-81A1-89D9648703ED}">
      <formula1>"Mayo,Junio,Julio,Agosto,Septiembre,Octubre"</formula1>
    </dataValidation>
    <dataValidation type="list" allowBlank="1" showInputMessage="1" showErrorMessage="1" sqref="AB14:AB15 R14:R15 N14:N15 V14:V15" xr:uid="{02ACC35A-30C8-4E69-90BB-046BE2A2B6D8}">
      <formula1>"No Cumple, Parcial, Cumple, Más que Cumple, Mejor Práctica"</formula1>
    </dataValidation>
    <dataValidation type="list" allowBlank="1" showInputMessage="1" showErrorMessage="1" sqref="O10" xr:uid="{3F51C8C9-EF1A-417A-86CA-77B88D527F3E}">
      <formula1>"Alta,Baja,No Planificado"</formula1>
    </dataValidation>
    <dataValidation type="list" allowBlank="1" showInputMessage="1" showErrorMessage="1" sqref="S10 Q10" xr:uid="{A341C052-5ED1-4C9C-8B7A-26F407A6AC76}">
      <formula1>"Junio,Julio,Agosto,Septiembre,Octubre"</formula1>
    </dataValidation>
    <dataValidation type="list" allowBlank="1" showInputMessage="1" showErrorMessage="1" sqref="D10" xr:uid="{F935E862-2063-4674-BC80-629FC0B61847}">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9DB80FDB-7CA7-44BF-AEE3-C85EE99F94AE}">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1A01-9771-4DB4-9FDF-2FF18E698427}">
  <sheetPr codeName="Planilha23"/>
  <dimension ref="A1:AB51"/>
  <sheetViews>
    <sheetView showGridLines="0" zoomScale="50" zoomScaleNormal="50" workbookViewId="0">
      <pane xSplit="3" ySplit="4" topLeftCell="E21"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433</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t="str">
        <f>IF($N$24&lt;&gt;"",IF($N$24=3,3,IF($N$24=2,2,1)),"")</f>
        <v/>
      </c>
      <c r="H7" s="48" t="str">
        <f>IF($Q$24&lt;&gt;"",IF($Q$24=3,3,IF($Q$24=2,2,1)),"")</f>
        <v/>
      </c>
      <c r="I7" s="48" t="str">
        <f>IF($T$24&lt;&gt;"",IF($T$24=3,3,IF($T$24=2,2,1)),"")</f>
        <v/>
      </c>
      <c r="J7" s="32"/>
      <c r="K7" s="49" t="s">
        <v>224</v>
      </c>
      <c r="L7" s="46" t="s">
        <v>225</v>
      </c>
      <c r="M7" s="267" t="s">
        <v>434</v>
      </c>
      <c r="N7" s="267"/>
      <c r="O7" s="267"/>
      <c r="P7" s="46" t="s">
        <v>227</v>
      </c>
      <c r="Q7" s="267" t="s">
        <v>435</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1.3999999999999999E-2</v>
      </c>
      <c r="F10" s="52" t="str">
        <f>IF(K20="D","D","-")</f>
        <v>-</v>
      </c>
      <c r="G10" s="52" t="str">
        <f>IF(N20="D","D","-")</f>
        <v>-</v>
      </c>
      <c r="H10" s="52" t="str">
        <f>IF(Q20="D","D","-")</f>
        <v>-</v>
      </c>
      <c r="I10" s="52" t="str">
        <f>IF(T20="D","D","-")</f>
        <v>D</v>
      </c>
      <c r="J10" s="32"/>
      <c r="K10" s="66" t="s">
        <v>230</v>
      </c>
      <c r="L10" s="50" t="s">
        <v>231</v>
      </c>
      <c r="M10" s="75">
        <v>1</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1.7000000000000001E-2</v>
      </c>
      <c r="F12" s="268">
        <f>IF($L$24&lt;&gt;"",IF($L$24=3,3,IF($L$24=2,2,1)),"")</f>
        <v>3</v>
      </c>
      <c r="G12" s="268">
        <f>IF($O$24&lt;&gt;"",IF($O$24=3,3,IF($O$24=2,2,1)),"")</f>
        <v>3</v>
      </c>
      <c r="H12" s="268">
        <f>IF($R$24&lt;&gt;"",IF($R$24=3,3,IF($R$24=2,2,1)),"")</f>
        <v>3</v>
      </c>
      <c r="I12" s="268" t="str">
        <f>IF($U$24&lt;&gt;"",IF($U$24=3,3,IF($U$24=2,2,1)),"")</f>
        <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422</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436</v>
      </c>
      <c r="L18" s="264"/>
      <c r="M18" s="265"/>
      <c r="N18" s="266" t="s">
        <v>437</v>
      </c>
      <c r="O18" s="264"/>
      <c r="P18" s="265"/>
      <c r="Q18" s="266" t="s">
        <v>438</v>
      </c>
      <c r="R18" s="264"/>
      <c r="S18" s="265"/>
      <c r="T18" s="264" t="s">
        <v>439</v>
      </c>
      <c r="U18" s="264"/>
      <c r="V18" s="265"/>
      <c r="W18" s="9"/>
      <c r="X18" s="9"/>
      <c r="Y18" s="23"/>
    </row>
    <row r="19" spans="1:25" ht="124.5" customHeight="1" outlineLevel="2" x14ac:dyDescent="0.3">
      <c r="A19" s="1"/>
      <c r="B19" s="283"/>
      <c r="C19" s="283"/>
      <c r="D19" s="42" t="s">
        <v>257</v>
      </c>
      <c r="E19" s="264" t="s">
        <v>440</v>
      </c>
      <c r="F19" s="264"/>
      <c r="G19" s="264"/>
      <c r="H19" s="264"/>
      <c r="I19" s="264"/>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102</v>
      </c>
      <c r="F20" s="288"/>
      <c r="G20" s="288"/>
      <c r="H20" s="288"/>
      <c r="I20" s="288"/>
      <c r="J20" s="25"/>
      <c r="K20" s="266"/>
      <c r="L20" s="264"/>
      <c r="M20" s="265"/>
      <c r="N20" s="266"/>
      <c r="O20" s="264"/>
      <c r="P20" s="265"/>
      <c r="Q20" s="266"/>
      <c r="R20" s="264"/>
      <c r="S20" s="265"/>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441</v>
      </c>
      <c r="L21" s="264"/>
      <c r="M21" s="265"/>
      <c r="N21" s="266" t="s">
        <v>442</v>
      </c>
      <c r="O21" s="264"/>
      <c r="P21" s="265"/>
      <c r="Q21" s="266" t="s">
        <v>441</v>
      </c>
      <c r="R21" s="264"/>
      <c r="S21" s="265"/>
      <c r="T21" s="264" t="s">
        <v>443</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t="s">
        <v>444</v>
      </c>
      <c r="N24" s="56"/>
      <c r="O24" s="40">
        <v>3</v>
      </c>
      <c r="P24" s="289"/>
      <c r="Q24" s="56"/>
      <c r="R24" s="40">
        <v>3</v>
      </c>
      <c r="S24" s="289"/>
      <c r="T24" s="40"/>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c r="L26" s="45" t="s">
        <v>445</v>
      </c>
      <c r="M26" s="289"/>
      <c r="N26" s="58"/>
      <c r="O26" s="45" t="s">
        <v>1103</v>
      </c>
      <c r="P26" s="289"/>
      <c r="Q26" s="58"/>
      <c r="R26" s="45" t="s">
        <v>446</v>
      </c>
      <c r="S26" s="289"/>
      <c r="T26" s="45"/>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863" priority="2" operator="containsText" text="Finalizado">
      <formula>NOT(ISERROR(SEARCH("Finalizado",D15)))</formula>
    </cfRule>
    <cfRule type="containsText" dxfId="862" priority="3" operator="containsText" text="No Planificado">
      <formula>NOT(ISERROR(SEARCH("No Planificado",D15)))</formula>
    </cfRule>
    <cfRule type="containsText" dxfId="861" priority="4" operator="containsText" text="A Tiempo">
      <formula>NOT(ISERROR(SEARCH("A Tiempo",D15)))</formula>
    </cfRule>
    <cfRule type="containsText" dxfId="860"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859" priority="20" operator="containsText" text="PENDIENTE">
      <formula>NOT(ISERROR(SEARCH("PENDIENTE",K25)))</formula>
    </cfRule>
    <cfRule type="containsText" dxfId="858" priority="21" operator="containsText" text="NO VALIDADO">
      <formula>NOT(ISERROR(SEARCH("NO VALIDADO",K25)))</formula>
    </cfRule>
    <cfRule type="containsText" dxfId="857" priority="22" operator="containsText" text="VALIDADO">
      <formula>NOT(ISERROR(SEARCH("VALIDADO",K25)))</formula>
    </cfRule>
  </conditionalFormatting>
  <conditionalFormatting sqref="N25:O25">
    <cfRule type="containsText" dxfId="856" priority="13" operator="containsText" text="PENDIENTE">
      <formula>NOT(ISERROR(SEARCH("PENDIENTE",N25)))</formula>
    </cfRule>
    <cfRule type="containsText" dxfId="855" priority="14" operator="containsText" text="NO VALIDADO">
      <formula>NOT(ISERROR(SEARCH("NO VALIDADO",N25)))</formula>
    </cfRule>
    <cfRule type="containsText" dxfId="854" priority="15" operator="containsText" text="VALIDADO">
      <formula>NOT(ISERROR(SEARCH("VALIDADO",N25)))</formula>
    </cfRule>
  </conditionalFormatting>
  <conditionalFormatting sqref="Q25:R25">
    <cfRule type="containsText" dxfId="853" priority="10" operator="containsText" text="PENDIENTE">
      <formula>NOT(ISERROR(SEARCH("PENDIENTE",Q25)))</formula>
    </cfRule>
    <cfRule type="containsText" dxfId="852" priority="11" operator="containsText" text="NO VALIDADO">
      <formula>NOT(ISERROR(SEARCH("NO VALIDADO",Q25)))</formula>
    </cfRule>
    <cfRule type="containsText" dxfId="851" priority="12" operator="containsText" text="VALIDADO">
      <formula>NOT(ISERROR(SEARCH("VALIDADO",Q25)))</formula>
    </cfRule>
  </conditionalFormatting>
  <conditionalFormatting sqref="T25:U25">
    <cfRule type="containsText" dxfId="850" priority="7" operator="containsText" text="PENDIENTE">
      <formula>NOT(ISERROR(SEARCH("PENDIENTE",T25)))</formula>
    </cfRule>
    <cfRule type="containsText" dxfId="849" priority="8" operator="containsText" text="NO VALIDADO">
      <formula>NOT(ISERROR(SEARCH("NO VALIDADO",T25)))</formula>
    </cfRule>
    <cfRule type="containsText" dxfId="848" priority="9" operator="containsText" text="VALIDADO">
      <formula>NOT(ISERROR(SEARCH("VALIDADO",T25)))</formula>
    </cfRule>
  </conditionalFormatting>
  <dataValidations count="6">
    <dataValidation type="list" allowBlank="1" showInputMessage="1" showErrorMessage="1" sqref="D10" xr:uid="{34BFBB0C-5F22-4DBF-805F-1AD8F30830CF}">
      <formula1>"No Cumple, Parcial,Cumple,Más que Cumple,Mejor Práctica"</formula1>
    </dataValidation>
    <dataValidation type="list" allowBlank="1" showInputMessage="1" showErrorMessage="1" sqref="S10 Q10" xr:uid="{2F6229D0-38C3-4B8E-B1E7-517E7F88B022}">
      <formula1>"Junio,Julio,Agosto,Septiembre,Octubre"</formula1>
    </dataValidation>
    <dataValidation type="list" allowBlank="1" showInputMessage="1" showErrorMessage="1" sqref="O10" xr:uid="{2DDE5F65-E090-4819-8920-F5A90BC4A4E9}">
      <formula1>"Alta,Baja,No Planificado"</formula1>
    </dataValidation>
    <dataValidation type="list" allowBlank="1" showInputMessage="1" showErrorMessage="1" sqref="AB14:AB15 R14:R15 N14:N15 V14:V15" xr:uid="{2FBFF60B-ADF8-4FD6-963C-D68B81E36C69}">
      <formula1>"No Cumple, Parcial, Cumple, Más que Cumple, Mejor Práctica"</formula1>
    </dataValidation>
    <dataValidation type="list" allowBlank="1" showInputMessage="1" showErrorMessage="1" sqref="M12 Q12 U12" xr:uid="{E28541B5-954D-4026-BADE-0C1E04C667B1}">
      <formula1>"Mayo,Junio,Julio,Agosto,Septiembre,Octubre"</formula1>
    </dataValidation>
    <dataValidation type="list" allowBlank="1" showInputMessage="1" showErrorMessage="1" sqref="K14:K15 O14:O15 S14:S15" xr:uid="{9E851499-4882-4FB3-83C3-9C7BBDB2F1C4}">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26590145-6265-4069-9D0F-E0093C106C92}">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F92D-4E63-4336-9667-0017501F3730}">
  <sheetPr codeName="Planilha24"/>
  <dimension ref="A1:AB51"/>
  <sheetViews>
    <sheetView showGridLines="0" zoomScale="50" zoomScaleNormal="50" workbookViewId="0">
      <pane xSplit="3" ySplit="4" topLeftCell="L14"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447</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t="str">
        <f>IF($N$24&lt;&gt;"",IF($N$24=3,3,IF($N$24=2,2,1)),"")</f>
        <v/>
      </c>
      <c r="H7" s="48" t="str">
        <f>IF($Q$24&lt;&gt;"",IF($Q$24=3,3,IF($Q$24=2,2,1)),"")</f>
        <v/>
      </c>
      <c r="I7" s="48" t="str">
        <f>IF($T$24&lt;&gt;"",IF($T$24=3,3,IF($T$24=2,2,1)),"")</f>
        <v/>
      </c>
      <c r="J7" s="32"/>
      <c r="K7" s="49" t="s">
        <v>224</v>
      </c>
      <c r="L7" s="46" t="s">
        <v>225</v>
      </c>
      <c r="M7" s="267" t="s">
        <v>448</v>
      </c>
      <c r="N7" s="267"/>
      <c r="O7" s="267"/>
      <c r="P7" s="46" t="s">
        <v>227</v>
      </c>
      <c r="Q7" s="267" t="s">
        <v>449</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1.7000000000000001E-2</v>
      </c>
      <c r="F10" s="52" t="str">
        <f>IF(K20="D","D","-")</f>
        <v>-</v>
      </c>
      <c r="G10" s="52" t="str">
        <f>IF(N20="D","D","-")</f>
        <v>-</v>
      </c>
      <c r="H10" s="52" t="str">
        <f>IF(Q20="D","D","-")</f>
        <v>-</v>
      </c>
      <c r="I10" s="52" t="str">
        <f>IF(T20="D","D","-")</f>
        <v>D</v>
      </c>
      <c r="J10" s="32"/>
      <c r="K10" s="66" t="s">
        <v>230</v>
      </c>
      <c r="L10" s="50" t="s">
        <v>231</v>
      </c>
      <c r="M10" s="75">
        <v>1</v>
      </c>
      <c r="N10" s="50" t="s">
        <v>232</v>
      </c>
      <c r="O10" s="53" t="s">
        <v>302</v>
      </c>
      <c r="P10" s="50" t="s">
        <v>233</v>
      </c>
      <c r="Q10" s="92"/>
      <c r="R10" s="50" t="s">
        <v>235</v>
      </c>
      <c r="S10" s="92"/>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0.02</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390</v>
      </c>
      <c r="O14" s="266" t="s">
        <v>247</v>
      </c>
      <c r="P14" s="286" t="s">
        <v>323</v>
      </c>
      <c r="Q14" s="286"/>
      <c r="R14" s="265" t="s">
        <v>246</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No Planificado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450</v>
      </c>
      <c r="L18" s="264"/>
      <c r="M18" s="264"/>
      <c r="N18" s="264" t="s">
        <v>451</v>
      </c>
      <c r="O18" s="264"/>
      <c r="P18" s="264"/>
      <c r="Q18" s="264" t="s">
        <v>452</v>
      </c>
      <c r="R18" s="264"/>
      <c r="S18" s="264"/>
      <c r="T18" s="264" t="s">
        <v>453</v>
      </c>
      <c r="U18" s="264"/>
      <c r="V18" s="265"/>
      <c r="W18" s="9"/>
      <c r="X18" s="9"/>
      <c r="Y18" s="23"/>
    </row>
    <row r="19" spans="1:25" ht="124.5" customHeight="1" outlineLevel="2" x14ac:dyDescent="0.3">
      <c r="A19" s="1"/>
      <c r="B19" s="283"/>
      <c r="C19" s="283"/>
      <c r="D19" s="42" t="s">
        <v>257</v>
      </c>
      <c r="E19" s="307" t="s">
        <v>454</v>
      </c>
      <c r="F19" s="307"/>
      <c r="G19" s="307"/>
      <c r="H19" s="307"/>
      <c r="I19" s="307"/>
      <c r="J19" s="25"/>
      <c r="K19" s="266"/>
      <c r="L19" s="264"/>
      <c r="M19" s="264"/>
      <c r="N19" s="264"/>
      <c r="O19" s="264"/>
      <c r="P19" s="264"/>
      <c r="Q19" s="264"/>
      <c r="R19" s="264"/>
      <c r="S19" s="264"/>
      <c r="T19" s="264"/>
      <c r="U19" s="264"/>
      <c r="V19" s="265"/>
      <c r="W19" s="9"/>
      <c r="X19" s="9"/>
      <c r="Y19" s="23"/>
    </row>
    <row r="20" spans="1:25" ht="18.75" customHeight="1" outlineLevel="2" x14ac:dyDescent="0.3">
      <c r="A20" s="1"/>
      <c r="B20" s="283"/>
      <c r="C20" s="283"/>
      <c r="D20" s="287" t="s">
        <v>74</v>
      </c>
      <c r="E20" s="288" t="s">
        <v>105</v>
      </c>
      <c r="F20" s="288"/>
      <c r="G20" s="288"/>
      <c r="H20" s="288"/>
      <c r="I20" s="288"/>
      <c r="J20" s="25"/>
      <c r="K20" s="266"/>
      <c r="L20" s="264"/>
      <c r="M20" s="264"/>
      <c r="N20" s="264"/>
      <c r="O20" s="264"/>
      <c r="P20" s="264"/>
      <c r="Q20" s="264"/>
      <c r="R20" s="264"/>
      <c r="S20" s="264"/>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441</v>
      </c>
      <c r="L21" s="264"/>
      <c r="M21" s="264"/>
      <c r="N21" s="264" t="s">
        <v>455</v>
      </c>
      <c r="O21" s="264"/>
      <c r="P21" s="264"/>
      <c r="Q21" s="266" t="s">
        <v>456</v>
      </c>
      <c r="R21" s="264"/>
      <c r="S21" s="264"/>
      <c r="T21" s="264" t="s">
        <v>457</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t="s">
        <v>458</v>
      </c>
      <c r="N24" s="56"/>
      <c r="O24" s="40">
        <v>3</v>
      </c>
      <c r="P24" s="289"/>
      <c r="Q24" s="56"/>
      <c r="R24" s="40">
        <v>3</v>
      </c>
      <c r="S24" s="289"/>
      <c r="T24" s="40"/>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459</v>
      </c>
      <c r="L26" s="45" t="s">
        <v>460</v>
      </c>
      <c r="M26" s="289"/>
      <c r="N26" s="58"/>
      <c r="O26" s="45" t="s">
        <v>1104</v>
      </c>
      <c r="P26" s="289"/>
      <c r="Q26" s="58" t="s">
        <v>461</v>
      </c>
      <c r="R26" s="45" t="s">
        <v>1198</v>
      </c>
      <c r="S26" s="289"/>
      <c r="T26" s="45"/>
      <c r="U26" s="45" t="s">
        <v>1199</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847" priority="2" operator="containsText" text="Finalizado">
      <formula>NOT(ISERROR(SEARCH("Finalizado",D15)))</formula>
    </cfRule>
    <cfRule type="containsText" dxfId="846" priority="3" operator="containsText" text="No Planificado">
      <formula>NOT(ISERROR(SEARCH("No Planificado",D15)))</formula>
    </cfRule>
    <cfRule type="containsText" dxfId="845" priority="4" operator="containsText" text="A Tiempo">
      <formula>NOT(ISERROR(SEARCH("A Tiempo",D15)))</formula>
    </cfRule>
    <cfRule type="containsText" dxfId="844" priority="5" operator="containsText" text="Retrasado">
      <formula>NOT(ISERROR(SEARCH("Retrasado",D15)))</formula>
    </cfRule>
  </conditionalFormatting>
  <conditionalFormatting sqref="F7:F8">
    <cfRule type="iconSet" priority="19">
      <iconSet showValue="0">
        <cfvo type="percent" val="0"/>
        <cfvo type="num" val="2"/>
        <cfvo type="num" val="3"/>
      </iconSet>
    </cfRule>
  </conditionalFormatting>
  <conditionalFormatting sqref="F12 F14">
    <cfRule type="iconSet" priority="17">
      <iconSet showValue="0">
        <cfvo type="percent" val="0"/>
        <cfvo type="num" val="2"/>
        <cfvo type="num" val="3"/>
      </iconSet>
    </cfRule>
  </conditionalFormatting>
  <conditionalFormatting sqref="G7:I8">
    <cfRule type="iconSet" priority="18">
      <iconSet showValue="0">
        <cfvo type="percent" val="0"/>
        <cfvo type="num" val="2"/>
        <cfvo type="num" val="3"/>
      </iconSet>
    </cfRule>
  </conditionalFormatting>
  <conditionalFormatting sqref="G12:I12 G14:I14">
    <cfRule type="iconSet" priority="16">
      <iconSet showValue="0">
        <cfvo type="percent" val="0"/>
        <cfvo type="num" val="2"/>
        <cfvo type="num" val="3"/>
      </iconSet>
    </cfRule>
  </conditionalFormatting>
  <conditionalFormatting sqref="K24:L24 N24:O24 Q24:R24 T24:U24">
    <cfRule type="iconSet" priority="6">
      <iconSet showValue="0">
        <cfvo type="percent" val="0"/>
        <cfvo type="num" val="2"/>
        <cfvo type="num" val="3"/>
      </iconSet>
    </cfRule>
  </conditionalFormatting>
  <conditionalFormatting sqref="K25:L25">
    <cfRule type="containsText" dxfId="843" priority="20" operator="containsText" text="PENDIENTE">
      <formula>NOT(ISERROR(SEARCH("PENDIENTE",K25)))</formula>
    </cfRule>
    <cfRule type="containsText" dxfId="842" priority="21" operator="containsText" text="NO VALIDADO">
      <formula>NOT(ISERROR(SEARCH("NO VALIDADO",K25)))</formula>
    </cfRule>
    <cfRule type="containsText" dxfId="841" priority="22" operator="containsText" text="VALIDADO">
      <formula>NOT(ISERROR(SEARCH("VALIDADO",K25)))</formula>
    </cfRule>
  </conditionalFormatting>
  <conditionalFormatting sqref="N25:O25">
    <cfRule type="containsText" dxfId="840" priority="13" operator="containsText" text="PENDIENTE">
      <formula>NOT(ISERROR(SEARCH("PENDIENTE",N25)))</formula>
    </cfRule>
    <cfRule type="containsText" dxfId="839" priority="14" operator="containsText" text="NO VALIDADO">
      <formula>NOT(ISERROR(SEARCH("NO VALIDADO",N25)))</formula>
    </cfRule>
    <cfRule type="containsText" dxfId="838" priority="15" operator="containsText" text="VALIDADO">
      <formula>NOT(ISERROR(SEARCH("VALIDADO",N25)))</formula>
    </cfRule>
  </conditionalFormatting>
  <conditionalFormatting sqref="Q25:R25">
    <cfRule type="containsText" dxfId="837" priority="10" operator="containsText" text="PENDIENTE">
      <formula>NOT(ISERROR(SEARCH("PENDIENTE",Q25)))</formula>
    </cfRule>
    <cfRule type="containsText" dxfId="836" priority="11" operator="containsText" text="NO VALIDADO">
      <formula>NOT(ISERROR(SEARCH("NO VALIDADO",Q25)))</formula>
    </cfRule>
    <cfRule type="containsText" dxfId="835" priority="12" operator="containsText" text="VALIDADO">
      <formula>NOT(ISERROR(SEARCH("VALIDADO",Q25)))</formula>
    </cfRule>
  </conditionalFormatting>
  <conditionalFormatting sqref="T25:U25">
    <cfRule type="containsText" dxfId="834" priority="7" operator="containsText" text="PENDIENTE">
      <formula>NOT(ISERROR(SEARCH("PENDIENTE",T25)))</formula>
    </cfRule>
    <cfRule type="containsText" dxfId="833" priority="8" operator="containsText" text="NO VALIDADO">
      <formula>NOT(ISERROR(SEARCH("NO VALIDADO",T25)))</formula>
    </cfRule>
    <cfRule type="containsText" dxfId="832" priority="9" operator="containsText" text="VALIDADO">
      <formula>NOT(ISERROR(SEARCH("VALIDADO",T25)))</formula>
    </cfRule>
  </conditionalFormatting>
  <dataValidations count="6">
    <dataValidation type="list" allowBlank="1" showInputMessage="1" showErrorMessage="1" sqref="K14:K15 O14:O15 S14:S15" xr:uid="{7C00B671-B054-4C0C-B8A6-835B21E248FC}">
      <formula1>"No Iniciado, En Progreso,Finalizado"</formula1>
    </dataValidation>
    <dataValidation type="list" allowBlank="1" showInputMessage="1" showErrorMessage="1" sqref="M12 Q12 U12" xr:uid="{B7852E12-7470-43E4-BBC4-3AE76D82E577}">
      <formula1>"Mayo,Junio,Julio,Agosto,Septiembre,Octubre"</formula1>
    </dataValidation>
    <dataValidation type="list" allowBlank="1" showInputMessage="1" showErrorMessage="1" sqref="AB14:AB15 R14:R15 N14:N15 V14:V15" xr:uid="{1783FAA6-5180-4022-BCA6-54A7DDB96200}">
      <formula1>"No Cumple, Parcial, Cumple, Más que Cumple, Mejor Práctica"</formula1>
    </dataValidation>
    <dataValidation type="list" allowBlank="1" showInputMessage="1" showErrorMessage="1" sqref="O10" xr:uid="{056A765C-728F-4463-AF42-06CEE26B1D2B}">
      <formula1>"Alta,Baja,No Planificado"</formula1>
    </dataValidation>
    <dataValidation type="list" allowBlank="1" showInputMessage="1" showErrorMessage="1" sqref="S10 Q10" xr:uid="{5619732C-EF2F-4B8E-84A5-19B9FA3EE3FB}">
      <formula1>"Junio,Julio,Agosto,Septiembre,Octubre"</formula1>
    </dataValidation>
    <dataValidation type="list" allowBlank="1" showInputMessage="1" showErrorMessage="1" sqref="D10" xr:uid="{EE26AB90-3BAB-4851-8D96-DE6617270B48}">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4176471-FEA5-4D98-BA38-8D147775E1F3}">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B2D2F-C19D-43FF-B6AF-787C91C2B748}">
  <sheetPr codeName="Planilha25"/>
  <dimension ref="A1:AB51"/>
  <sheetViews>
    <sheetView showGridLines="0" zoomScale="50" zoomScaleNormal="50" workbookViewId="0">
      <pane xSplit="3" ySplit="4" topLeftCell="G16"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462</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Cumpre</v>
      </c>
      <c r="E7" s="47">
        <f>IF($D7="Não cumpre",0,IF($D7="Parcial",$E$18*0.4,IF($D7="Cumpre",$E$18*0.7,IF($D7="Mais que cumpre",$E$18*0.85,IF($D7="Melhor Prática",$E$18,0)))))</f>
        <v>1.7499999999999998E-2</v>
      </c>
      <c r="F7" s="48">
        <f>IF($K$24&lt;&gt;"",IF($K$24=3,3,IF($K$24=2,2,1)),"")</f>
        <v>3</v>
      </c>
      <c r="G7" s="48">
        <f>IF($N$24&lt;&gt;"",IF($N$24=3,3,IF($N$24=2,2,1)),"")</f>
        <v>3</v>
      </c>
      <c r="H7" s="48">
        <f>IF($Q$24&lt;&gt;"",IF($Q$24=3,3,IF($Q$24=2,2,1)),"")</f>
        <v>2</v>
      </c>
      <c r="I7" s="48" t="str">
        <f>IF($T$24&lt;&gt;"",IF($T$24=3,3,IF($T$24=2,2,1)),"")</f>
        <v/>
      </c>
      <c r="J7" s="32"/>
      <c r="K7" s="49" t="s">
        <v>224</v>
      </c>
      <c r="L7" s="46" t="s">
        <v>225</v>
      </c>
      <c r="M7" s="267" t="s">
        <v>463</v>
      </c>
      <c r="N7" s="267"/>
      <c r="O7" s="267"/>
      <c r="P7" s="46" t="s">
        <v>227</v>
      </c>
      <c r="Q7" s="267" t="s">
        <v>464</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2.1250000000000002E-2</v>
      </c>
      <c r="F10" s="52" t="str">
        <f>IF(K20="D","D","-")</f>
        <v>-</v>
      </c>
      <c r="G10" s="52" t="str">
        <f>IF(N20="D","D","-")</f>
        <v>D</v>
      </c>
      <c r="H10" s="52" t="str">
        <f>IF(Q20="D","D","-")</f>
        <v>D</v>
      </c>
      <c r="I10" s="52" t="str">
        <f>IF(T20="D","D","-")</f>
        <v>-</v>
      </c>
      <c r="J10" s="32"/>
      <c r="K10" s="66" t="s">
        <v>230</v>
      </c>
      <c r="L10" s="50" t="s">
        <v>231</v>
      </c>
      <c r="M10" s="75">
        <v>3</v>
      </c>
      <c r="N10" s="50" t="s">
        <v>232</v>
      </c>
      <c r="O10" s="53" t="s">
        <v>302</v>
      </c>
      <c r="P10" s="50" t="s">
        <v>233</v>
      </c>
      <c r="Q10" s="92" t="s">
        <v>286</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2.1250000000000002E-2</v>
      </c>
      <c r="F12" s="268">
        <f>IF($L$24&lt;&gt;"",IF($L$24=3,3,IF($L$24=2,2,1)),"")</f>
        <v>3</v>
      </c>
      <c r="G12" s="268">
        <f>IF($O$24&lt;&gt;"",IF($O$24=3,3,IF($O$24=2,2,1)),"")</f>
        <v>3</v>
      </c>
      <c r="H12" s="268">
        <f>IF($R$24&lt;&gt;"",IF($R$24=3,3,IF($R$24=2,2,1)),"")</f>
        <v>3</v>
      </c>
      <c r="I12" s="268" t="str">
        <f>IF($U$24&lt;&gt;"",IF($U$24=3,3,IF($U$24=2,2,1)),"")</f>
        <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305</v>
      </c>
      <c r="O14" s="266" t="s">
        <v>247</v>
      </c>
      <c r="P14" s="286" t="s">
        <v>323</v>
      </c>
      <c r="Q14" s="286"/>
      <c r="R14" s="265" t="s">
        <v>422</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2.5000000000000001E-2</v>
      </c>
      <c r="F18" s="116"/>
      <c r="G18" s="116"/>
      <c r="H18" s="116"/>
      <c r="I18" s="116"/>
      <c r="J18" s="9"/>
      <c r="K18" s="266" t="s">
        <v>465</v>
      </c>
      <c r="L18" s="264"/>
      <c r="M18" s="265"/>
      <c r="N18" s="266" t="s">
        <v>466</v>
      </c>
      <c r="O18" s="264"/>
      <c r="P18" s="265"/>
      <c r="Q18" s="266" t="s">
        <v>467</v>
      </c>
      <c r="R18" s="264"/>
      <c r="S18" s="265"/>
      <c r="T18" s="264" t="s">
        <v>468</v>
      </c>
      <c r="U18" s="264"/>
      <c r="V18" s="265"/>
      <c r="W18" s="9"/>
      <c r="X18" s="9"/>
      <c r="Y18" s="23"/>
    </row>
    <row r="19" spans="1:25" ht="124.5" customHeight="1" outlineLevel="2" x14ac:dyDescent="0.3">
      <c r="A19" s="1"/>
      <c r="B19" s="283"/>
      <c r="C19" s="283"/>
      <c r="D19" s="42" t="s">
        <v>257</v>
      </c>
      <c r="E19" s="307" t="s">
        <v>469</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28</v>
      </c>
      <c r="F20" s="288"/>
      <c r="G20" s="288"/>
      <c r="H20" s="288"/>
      <c r="I20" s="288"/>
      <c r="J20" s="25"/>
      <c r="K20" s="266"/>
      <c r="L20" s="264"/>
      <c r="M20" s="265"/>
      <c r="N20" s="266" t="s">
        <v>260</v>
      </c>
      <c r="O20" s="264"/>
      <c r="P20" s="265"/>
      <c r="Q20" s="266" t="s">
        <v>260</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470</v>
      </c>
      <c r="L21" s="264"/>
      <c r="M21" s="265"/>
      <c r="N21" s="266" t="s">
        <v>471</v>
      </c>
      <c r="O21" s="264"/>
      <c r="P21" s="265"/>
      <c r="Q21" s="266" t="s">
        <v>472</v>
      </c>
      <c r="R21" s="264"/>
      <c r="S21" s="265"/>
      <c r="T21" s="264" t="s">
        <v>473</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t="s">
        <v>474</v>
      </c>
      <c r="N24" s="56">
        <v>3</v>
      </c>
      <c r="O24" s="40">
        <v>3</v>
      </c>
      <c r="P24" s="289"/>
      <c r="Q24" s="56">
        <v>2</v>
      </c>
      <c r="R24" s="40">
        <v>3</v>
      </c>
      <c r="S24" s="289"/>
      <c r="T24" s="40"/>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c r="L26" s="45"/>
      <c r="M26" s="289"/>
      <c r="N26" s="58"/>
      <c r="O26" s="45" t="s">
        <v>1097</v>
      </c>
      <c r="P26" s="289"/>
      <c r="Q26" s="58"/>
      <c r="R26" s="45" t="s">
        <v>1105</v>
      </c>
      <c r="S26" s="289"/>
      <c r="T26" s="45"/>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831" priority="6" operator="containsText" text="Finalizado">
      <formula>NOT(ISERROR(SEARCH("Finalizado",D15)))</formula>
    </cfRule>
    <cfRule type="containsText" dxfId="830" priority="7" operator="containsText" text="No Planificado">
      <formula>NOT(ISERROR(SEARCH("No Planificado",D15)))</formula>
    </cfRule>
    <cfRule type="containsText" dxfId="829" priority="8" operator="containsText" text="A Tiempo">
      <formula>NOT(ISERROR(SEARCH("A Tiempo",D15)))</formula>
    </cfRule>
    <cfRule type="containsText" dxfId="828" priority="9" operator="containsText" text="Retrasado">
      <formula>NOT(ISERROR(SEARCH("Retrasado",D15)))</formula>
    </cfRule>
  </conditionalFormatting>
  <conditionalFormatting sqref="F7:F8">
    <cfRule type="iconSet" priority="23">
      <iconSet showValue="0">
        <cfvo type="percent" val="0"/>
        <cfvo type="num" val="2"/>
        <cfvo type="num" val="3"/>
      </iconSet>
    </cfRule>
  </conditionalFormatting>
  <conditionalFormatting sqref="F12 F14">
    <cfRule type="iconSet" priority="21">
      <iconSet showValue="0">
        <cfvo type="percent" val="0"/>
        <cfvo type="num" val="2"/>
        <cfvo type="num" val="3"/>
      </iconSet>
    </cfRule>
  </conditionalFormatting>
  <conditionalFormatting sqref="G7:I8">
    <cfRule type="iconSet" priority="22">
      <iconSet showValue="0">
        <cfvo type="percent" val="0"/>
        <cfvo type="num" val="2"/>
        <cfvo type="num" val="3"/>
      </iconSet>
    </cfRule>
  </conditionalFormatting>
  <conditionalFormatting sqref="G12:I12 G14:I14">
    <cfRule type="iconSet" priority="20">
      <iconSet showValue="0">
        <cfvo type="percent" val="0"/>
        <cfvo type="num" val="2"/>
        <cfvo type="num" val="3"/>
      </iconSet>
    </cfRule>
  </conditionalFormatting>
  <conditionalFormatting sqref="K24">
    <cfRule type="iconSet" priority="3">
      <iconSet showValue="0">
        <cfvo type="percent" val="0"/>
        <cfvo type="num" val="2"/>
        <cfvo type="num" val="3"/>
      </iconSet>
    </cfRule>
  </conditionalFormatting>
  <conditionalFormatting sqref="K25:L25">
    <cfRule type="containsText" dxfId="827" priority="24" operator="containsText" text="PENDIENTE">
      <formula>NOT(ISERROR(SEARCH("PENDIENTE",K25)))</formula>
    </cfRule>
    <cfRule type="containsText" dxfId="826" priority="25" operator="containsText" text="NO VALIDADO">
      <formula>NOT(ISERROR(SEARCH("NO VALIDADO",K25)))</formula>
    </cfRule>
    <cfRule type="containsText" dxfId="825" priority="26" operator="containsText" text="VALIDADO">
      <formula>NOT(ISERROR(SEARCH("VALIDADO",K25)))</formula>
    </cfRule>
  </conditionalFormatting>
  <conditionalFormatting sqref="L24 O24 R24 T24:U24">
    <cfRule type="iconSet" priority="10">
      <iconSet showValue="0">
        <cfvo type="percent" val="0"/>
        <cfvo type="num" val="2"/>
        <cfvo type="num" val="3"/>
      </iconSet>
    </cfRule>
  </conditionalFormatting>
  <conditionalFormatting sqref="N24">
    <cfRule type="iconSet" priority="2">
      <iconSet showValue="0">
        <cfvo type="percent" val="0"/>
        <cfvo type="num" val="2"/>
        <cfvo type="num" val="3"/>
      </iconSet>
    </cfRule>
  </conditionalFormatting>
  <conditionalFormatting sqref="N25:O25">
    <cfRule type="containsText" dxfId="824" priority="17" operator="containsText" text="PENDIENTE">
      <formula>NOT(ISERROR(SEARCH("PENDIENTE",N25)))</formula>
    </cfRule>
    <cfRule type="containsText" dxfId="823" priority="18" operator="containsText" text="NO VALIDADO">
      <formula>NOT(ISERROR(SEARCH("NO VALIDADO",N25)))</formula>
    </cfRule>
    <cfRule type="containsText" dxfId="822" priority="19" operator="containsText" text="VALIDADO">
      <formula>NOT(ISERROR(SEARCH("VALIDADO",N25)))</formula>
    </cfRule>
  </conditionalFormatting>
  <conditionalFormatting sqref="Q24">
    <cfRule type="iconSet" priority="1">
      <iconSet showValue="0">
        <cfvo type="percent" val="0"/>
        <cfvo type="num" val="2"/>
        <cfvo type="num" val="3"/>
      </iconSet>
    </cfRule>
  </conditionalFormatting>
  <conditionalFormatting sqref="Q25:R25">
    <cfRule type="containsText" dxfId="821" priority="14" operator="containsText" text="PENDIENTE">
      <formula>NOT(ISERROR(SEARCH("PENDIENTE",Q25)))</formula>
    </cfRule>
    <cfRule type="containsText" dxfId="820" priority="15" operator="containsText" text="NO VALIDADO">
      <formula>NOT(ISERROR(SEARCH("NO VALIDADO",Q25)))</formula>
    </cfRule>
    <cfRule type="containsText" dxfId="819" priority="16" operator="containsText" text="VALIDADO">
      <formula>NOT(ISERROR(SEARCH("VALIDADO",Q25)))</formula>
    </cfRule>
  </conditionalFormatting>
  <conditionalFormatting sqref="T25:U25">
    <cfRule type="containsText" dxfId="818" priority="11" operator="containsText" text="PENDIENTE">
      <formula>NOT(ISERROR(SEARCH("PENDIENTE",T25)))</formula>
    </cfRule>
    <cfRule type="containsText" dxfId="817" priority="12" operator="containsText" text="NO VALIDADO">
      <formula>NOT(ISERROR(SEARCH("NO VALIDADO",T25)))</formula>
    </cfRule>
    <cfRule type="containsText" dxfId="816" priority="13" operator="containsText" text="VALIDADO">
      <formula>NOT(ISERROR(SEARCH("VALIDADO",T25)))</formula>
    </cfRule>
  </conditionalFormatting>
  <dataValidations count="6">
    <dataValidation type="list" allowBlank="1" showInputMessage="1" showErrorMessage="1" sqref="D10" xr:uid="{51038758-17D1-420F-99AB-F996446D0703}">
      <formula1>"No Cumple, Parcial,Cumple,Más que Cumple,Mejor Práctica"</formula1>
    </dataValidation>
    <dataValidation type="list" allowBlank="1" showInputMessage="1" showErrorMessage="1" sqref="S10 Q10" xr:uid="{F3C9D2E0-7985-4385-8CFD-950A6A0F329B}">
      <formula1>"Junio,Julio,Agosto,Septiembre,Octubre"</formula1>
    </dataValidation>
    <dataValidation type="list" allowBlank="1" showInputMessage="1" showErrorMessage="1" sqref="O10" xr:uid="{9D9C809F-EBFA-40AB-8821-323405D9BE24}">
      <formula1>"Alta,Baja,No Planificado"</formula1>
    </dataValidation>
    <dataValidation type="list" allowBlank="1" showInputMessage="1" showErrorMessage="1" sqref="AB14:AB15 R14:R15 N14:N15 V14:V15" xr:uid="{47F0950F-8607-4B2C-8CD5-4EE7AC4896D9}">
      <formula1>"No Cumple, Parcial, Cumple, Más que Cumple, Mejor Práctica"</formula1>
    </dataValidation>
    <dataValidation type="list" allowBlank="1" showInputMessage="1" showErrorMessage="1" sqref="M12 Q12 U12" xr:uid="{C975017B-DFDC-4DE6-A8F3-FAC1E7C6FD1F}">
      <formula1>"Mayo,Junio,Julio,Agosto,Septiembre,Octubre"</formula1>
    </dataValidation>
    <dataValidation type="list" allowBlank="1" showInputMessage="1" showErrorMessage="1" sqref="K14:K15 O14:O15 S14:S15" xr:uid="{F8AAE7F7-33D7-4AD3-AEE8-CCA7E4BC2B7C}">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1AD2FB55-4EB2-4983-8A38-9FE0D94B4FAD}">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2F8AB-75F5-4FC7-B57F-65556BE373BC}">
  <sheetPr codeName="Planilha26"/>
  <dimension ref="A1:AB51"/>
  <sheetViews>
    <sheetView showGridLines="0" zoomScale="50" zoomScaleNormal="50" workbookViewId="0">
      <pane xSplit="3" ySplit="4" topLeftCell="K16" activePane="bottomRight" state="frozen"/>
      <selection activeCell="C16" sqref="C16"/>
      <selection pane="topRight" activeCell="C16" sqref="C16"/>
      <selection pane="bottomLeft" activeCell="C16" sqref="C16"/>
      <selection pane="bottomRight" activeCell="U26" sqref="U2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475</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Mais que cumpre</v>
      </c>
      <c r="E7" s="47">
        <f>IF($D7="Não cumpre",0,IF($D7="Parcial",$E$18*0.4,IF($D7="Cumpre",$E$18*0.7,IF($D7="Mais que cumpre",$E$18*0.85,IF($D7="Melhor Prática",$E$18,0)))))</f>
        <v>1.7000000000000001E-2</v>
      </c>
      <c r="F7" s="48">
        <f>IF($K$24&lt;&gt;"",IF($K$24=3,3,IF($K$24=2,2,1)),"")</f>
        <v>3</v>
      </c>
      <c r="G7" s="48">
        <f>IF($N$24&lt;&gt;"",IF($N$24=3,3,IF($N$24=2,2,1)),"")</f>
        <v>3</v>
      </c>
      <c r="H7" s="48">
        <f>IF($Q$24&lt;&gt;"",IF($Q$24=3,3,IF($Q$24=2,2,1)),"")</f>
        <v>3</v>
      </c>
      <c r="I7" s="48" t="str">
        <f>IF($T$24&lt;&gt;"",IF($T$24=3,3,IF($T$24=2,2,1)),"")</f>
        <v/>
      </c>
      <c r="J7" s="32"/>
      <c r="K7" s="49" t="s">
        <v>224</v>
      </c>
      <c r="L7" s="46" t="s">
        <v>225</v>
      </c>
      <c r="M7" s="267"/>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0.02</v>
      </c>
      <c r="F10" s="52" t="str">
        <f>IF(K20="D","D","-")</f>
        <v>D</v>
      </c>
      <c r="G10" s="52" t="str">
        <f>IF(N20="D","D","-")</f>
        <v>D</v>
      </c>
      <c r="H10" s="52" t="str">
        <f>IF(Q20="D","D","-")</f>
        <v>D</v>
      </c>
      <c r="I10" s="52" t="str">
        <f>IF(T20="D","D","-")</f>
        <v>-</v>
      </c>
      <c r="J10" s="32"/>
      <c r="K10" s="66" t="s">
        <v>230</v>
      </c>
      <c r="L10" s="50" t="s">
        <v>231</v>
      </c>
      <c r="M10" s="75">
        <v>3</v>
      </c>
      <c r="N10" s="50" t="s">
        <v>232</v>
      </c>
      <c r="O10" s="53" t="s">
        <v>302</v>
      </c>
      <c r="P10" s="50" t="s">
        <v>233</v>
      </c>
      <c r="Q10" s="92" t="s">
        <v>286</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0.02</v>
      </c>
      <c r="F12" s="268">
        <f>IF($L$24&lt;&gt;"",IF($L$24=3,3,IF($L$24=2,2,1)),"")</f>
        <v>3</v>
      </c>
      <c r="G12" s="268">
        <f>IF($O$24&lt;&gt;"",IF($O$24=3,3,IF($O$24=2,2,1)),"")</f>
        <v>3</v>
      </c>
      <c r="H12" s="268">
        <f>IF($R$24&lt;&gt;"",IF($R$24=3,3,IF($R$24=2,2,1)),"")</f>
        <v>3</v>
      </c>
      <c r="I12" s="268">
        <f>IF($U$24&lt;&gt;"",IF($U$24=3,3,IF($U$24=2,2,1)),"")</f>
        <v>3</v>
      </c>
      <c r="J12" s="32"/>
      <c r="K12" s="300" t="s">
        <v>240</v>
      </c>
      <c r="L12" s="274"/>
      <c r="M12" s="280" t="s">
        <v>241</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274</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476</v>
      </c>
      <c r="L18" s="264"/>
      <c r="M18" s="265"/>
      <c r="N18" s="266" t="s">
        <v>477</v>
      </c>
      <c r="O18" s="264"/>
      <c r="P18" s="265"/>
      <c r="Q18" s="266" t="s">
        <v>478</v>
      </c>
      <c r="R18" s="264"/>
      <c r="S18" s="265"/>
      <c r="T18" s="264" t="s">
        <v>479</v>
      </c>
      <c r="U18" s="264"/>
      <c r="V18" s="265"/>
      <c r="W18" s="9"/>
      <c r="X18" s="9"/>
      <c r="Y18" s="23"/>
    </row>
    <row r="19" spans="1:25" ht="124.5" customHeight="1" outlineLevel="2" x14ac:dyDescent="0.3">
      <c r="A19" s="1"/>
      <c r="B19" s="283"/>
      <c r="C19" s="283"/>
      <c r="D19" s="42" t="s">
        <v>257</v>
      </c>
      <c r="E19" s="307" t="s">
        <v>480</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28</v>
      </c>
      <c r="F20" s="288"/>
      <c r="G20" s="288"/>
      <c r="H20" s="288"/>
      <c r="I20" s="288"/>
      <c r="J20" s="25"/>
      <c r="K20" s="266" t="s">
        <v>260</v>
      </c>
      <c r="L20" s="264"/>
      <c r="M20" s="265"/>
      <c r="N20" s="266" t="s">
        <v>260</v>
      </c>
      <c r="O20" s="264"/>
      <c r="P20" s="265"/>
      <c r="Q20" s="266" t="s">
        <v>260</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481</v>
      </c>
      <c r="L21" s="264"/>
      <c r="M21" s="265"/>
      <c r="N21" s="266" t="s">
        <v>481</v>
      </c>
      <c r="O21" s="264"/>
      <c r="P21" s="265"/>
      <c r="Q21" s="266" t="s">
        <v>481</v>
      </c>
      <c r="R21" s="264"/>
      <c r="S21" s="265"/>
      <c r="T21" s="264" t="s">
        <v>481</v>
      </c>
      <c r="U21" s="264"/>
      <c r="V21" s="264"/>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3</v>
      </c>
      <c r="R24" s="40">
        <v>3</v>
      </c>
      <c r="S24" s="289"/>
      <c r="T24" s="40"/>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c r="L26" s="45"/>
      <c r="M26" s="289"/>
      <c r="N26" s="58"/>
      <c r="O26" s="45"/>
      <c r="P26" s="289"/>
      <c r="Q26" s="58"/>
      <c r="R26" s="45" t="s">
        <v>482</v>
      </c>
      <c r="S26" s="289"/>
      <c r="T26" s="45"/>
      <c r="U26" s="45" t="s">
        <v>1200</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815" priority="6" operator="containsText" text="Finalizado">
      <formula>NOT(ISERROR(SEARCH("Finalizado",D15)))</formula>
    </cfRule>
    <cfRule type="containsText" dxfId="814" priority="7" operator="containsText" text="No Planificado">
      <formula>NOT(ISERROR(SEARCH("No Planificado",D15)))</formula>
    </cfRule>
    <cfRule type="containsText" dxfId="813" priority="8" operator="containsText" text="A Tiempo">
      <formula>NOT(ISERROR(SEARCH("A Tiempo",D15)))</formula>
    </cfRule>
    <cfRule type="containsText" dxfId="812" priority="9" operator="containsText" text="Retrasado">
      <formula>NOT(ISERROR(SEARCH("Retrasado",D15)))</formula>
    </cfRule>
  </conditionalFormatting>
  <conditionalFormatting sqref="F7:F8">
    <cfRule type="iconSet" priority="23">
      <iconSet showValue="0">
        <cfvo type="percent" val="0"/>
        <cfvo type="num" val="2"/>
        <cfvo type="num" val="3"/>
      </iconSet>
    </cfRule>
  </conditionalFormatting>
  <conditionalFormatting sqref="F12 F14">
    <cfRule type="iconSet" priority="21">
      <iconSet showValue="0">
        <cfvo type="percent" val="0"/>
        <cfvo type="num" val="2"/>
        <cfvo type="num" val="3"/>
      </iconSet>
    </cfRule>
  </conditionalFormatting>
  <conditionalFormatting sqref="G7:I8">
    <cfRule type="iconSet" priority="22">
      <iconSet showValue="0">
        <cfvo type="percent" val="0"/>
        <cfvo type="num" val="2"/>
        <cfvo type="num" val="3"/>
      </iconSet>
    </cfRule>
  </conditionalFormatting>
  <conditionalFormatting sqref="G12:I12 G14:I14">
    <cfRule type="iconSet" priority="20">
      <iconSet showValue="0">
        <cfvo type="percent" val="0"/>
        <cfvo type="num" val="2"/>
        <cfvo type="num" val="3"/>
      </iconSet>
    </cfRule>
  </conditionalFormatting>
  <conditionalFormatting sqref="K24">
    <cfRule type="iconSet" priority="3">
      <iconSet showValue="0">
        <cfvo type="percent" val="0"/>
        <cfvo type="num" val="2"/>
        <cfvo type="num" val="3"/>
      </iconSet>
    </cfRule>
  </conditionalFormatting>
  <conditionalFormatting sqref="K25:L25">
    <cfRule type="containsText" dxfId="811" priority="24" operator="containsText" text="PENDIENTE">
      <formula>NOT(ISERROR(SEARCH("PENDIENTE",K25)))</formula>
    </cfRule>
    <cfRule type="containsText" dxfId="810" priority="25" operator="containsText" text="NO VALIDADO">
      <formula>NOT(ISERROR(SEARCH("NO VALIDADO",K25)))</formula>
    </cfRule>
    <cfRule type="containsText" dxfId="809" priority="26" operator="containsText" text="VALIDADO">
      <formula>NOT(ISERROR(SEARCH("VALIDADO",K25)))</formula>
    </cfRule>
  </conditionalFormatting>
  <conditionalFormatting sqref="L24 O24 R24 T24:U24">
    <cfRule type="iconSet" priority="10">
      <iconSet showValue="0">
        <cfvo type="percent" val="0"/>
        <cfvo type="num" val="2"/>
        <cfvo type="num" val="3"/>
      </iconSet>
    </cfRule>
  </conditionalFormatting>
  <conditionalFormatting sqref="N24">
    <cfRule type="iconSet" priority="2">
      <iconSet showValue="0">
        <cfvo type="percent" val="0"/>
        <cfvo type="num" val="2"/>
        <cfvo type="num" val="3"/>
      </iconSet>
    </cfRule>
  </conditionalFormatting>
  <conditionalFormatting sqref="N25:O25">
    <cfRule type="containsText" dxfId="808" priority="17" operator="containsText" text="PENDIENTE">
      <formula>NOT(ISERROR(SEARCH("PENDIENTE",N25)))</formula>
    </cfRule>
    <cfRule type="containsText" dxfId="807" priority="18" operator="containsText" text="NO VALIDADO">
      <formula>NOT(ISERROR(SEARCH("NO VALIDADO",N25)))</formula>
    </cfRule>
    <cfRule type="containsText" dxfId="806" priority="19" operator="containsText" text="VALIDADO">
      <formula>NOT(ISERROR(SEARCH("VALIDADO",N25)))</formula>
    </cfRule>
  </conditionalFormatting>
  <conditionalFormatting sqref="Q24">
    <cfRule type="iconSet" priority="1">
      <iconSet showValue="0">
        <cfvo type="percent" val="0"/>
        <cfvo type="num" val="2"/>
        <cfvo type="num" val="3"/>
      </iconSet>
    </cfRule>
  </conditionalFormatting>
  <conditionalFormatting sqref="Q25:R25">
    <cfRule type="containsText" dxfId="805" priority="14" operator="containsText" text="PENDIENTE">
      <formula>NOT(ISERROR(SEARCH("PENDIENTE",Q25)))</formula>
    </cfRule>
    <cfRule type="containsText" dxfId="804" priority="15" operator="containsText" text="NO VALIDADO">
      <formula>NOT(ISERROR(SEARCH("NO VALIDADO",Q25)))</formula>
    </cfRule>
    <cfRule type="containsText" dxfId="803" priority="16" operator="containsText" text="VALIDADO">
      <formula>NOT(ISERROR(SEARCH("VALIDADO",Q25)))</formula>
    </cfRule>
  </conditionalFormatting>
  <conditionalFormatting sqref="T25:U25">
    <cfRule type="containsText" dxfId="802" priority="11" operator="containsText" text="PENDIENTE">
      <formula>NOT(ISERROR(SEARCH("PENDIENTE",T25)))</formula>
    </cfRule>
    <cfRule type="containsText" dxfId="801" priority="12" operator="containsText" text="NO VALIDADO">
      <formula>NOT(ISERROR(SEARCH("NO VALIDADO",T25)))</formula>
    </cfRule>
    <cfRule type="containsText" dxfId="800" priority="13" operator="containsText" text="VALIDADO">
      <formula>NOT(ISERROR(SEARCH("VALIDADO",T25)))</formula>
    </cfRule>
  </conditionalFormatting>
  <dataValidations count="8">
    <dataValidation type="list" allowBlank="1" showInputMessage="1" showErrorMessage="1" sqref="S14:S15 O14:O15 K14:K15" xr:uid="{19903DA8-07B4-4FA5-8D7F-5E7545664227}">
      <formula1>"No Iniciado, En Progreso,Finalizado"</formula1>
    </dataValidation>
    <dataValidation type="list" allowBlank="1" showInputMessage="1" showErrorMessage="1" sqref="U12 Q12" xr:uid="{9D98859A-B993-4822-B469-CCF810D5DE59}">
      <formula1>"Mayo,Junio,Julio,Agosto,Septiembre,Octubre"</formula1>
    </dataValidation>
    <dataValidation type="list" allowBlank="1" showInputMessage="1" showErrorMessage="1" sqref="AB14:AB15 R14:R15 V14:V15" xr:uid="{7F18BF40-A640-4DC9-A04F-5F0983A6A052}">
      <formula1>"No Cumple, Parcial, Cumple, Más que Cumple, Mejor Práctica"</formula1>
    </dataValidation>
    <dataValidation type="list" allowBlank="1" showInputMessage="1" showErrorMessage="1" sqref="O10" xr:uid="{F3B854D7-ABE4-473C-BA97-046B3B1772E1}">
      <formula1>"Alta,Baja,No Planificado"</formula1>
    </dataValidation>
    <dataValidation type="list" allowBlank="1" showInputMessage="1" showErrorMessage="1" sqref="S10 Q10" xr:uid="{7C144659-1423-450D-A74B-62875E24E181}">
      <formula1>"Junio,Julio,Agosto,Septiembre,Octubre"</formula1>
    </dataValidation>
    <dataValidation type="list" allowBlank="1" showInputMessage="1" showErrorMessage="1" sqref="D10" xr:uid="{A32085C6-A881-4FE4-AA10-B5288577F87A}">
      <formula1>"No Cumple, Parcial,Cumple,Más que Cumple,Mejor Práctica"</formula1>
    </dataValidation>
    <dataValidation type="list" allowBlank="1" showInputMessage="1" showErrorMessage="1" sqref="M12:N12" xr:uid="{7CC67C01-93C2-4B02-9AF6-E508B17C31DA}">
      <formula1>"Maio,Junho,Julho,Agosto,Setembro,Outubro"</formula1>
    </dataValidation>
    <dataValidation type="list" allowBlank="1" showInputMessage="1" showErrorMessage="1" sqref="N14:N15" xr:uid="{C5DE4D66-636C-45D8-8011-D8882E9D6809}">
      <formula1>"Não Cumpre, Parcial, Cumpre, Mais que Cumpre, Melhor Prática"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1D1A19AA-805F-49DB-94DE-8F53F17E383B}">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53D22-5919-45B6-BAE1-29B505578443}">
  <sheetPr codeName="Planilha27"/>
  <dimension ref="A1:AB51"/>
  <sheetViews>
    <sheetView showGridLines="0" zoomScale="50" zoomScaleNormal="50" workbookViewId="0">
      <pane xSplit="3" ySplit="4" topLeftCell="D22"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483</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6.0000000000000001E-3</v>
      </c>
      <c r="F7" s="48">
        <f>IF($K$24&lt;&gt;"",IF($K$24=3,3,IF($K$24=2,2,1)),"")</f>
        <v>3</v>
      </c>
      <c r="G7" s="48">
        <f>IF($N$24&lt;&gt;"",IF($N$24=3,3,IF($N$24=2,2,1)),"")</f>
        <v>2</v>
      </c>
      <c r="H7" s="48" t="str">
        <f>IF($Q$24&lt;&gt;"",IF($Q$24=3,3,IF($Q$24=2,2,1)),"")</f>
        <v/>
      </c>
      <c r="I7" s="48" t="str">
        <f>IF($T$24&lt;&gt;"",IF($T$24=3,3,IF($T$24=2,2,1)),"")</f>
        <v/>
      </c>
      <c r="J7" s="32"/>
      <c r="K7" s="49" t="s">
        <v>224</v>
      </c>
      <c r="L7" s="46" t="s">
        <v>225</v>
      </c>
      <c r="M7" s="267" t="s">
        <v>484</v>
      </c>
      <c r="N7" s="267"/>
      <c r="O7" s="267"/>
      <c r="P7" s="46" t="s">
        <v>227</v>
      </c>
      <c r="Q7" s="267" t="s">
        <v>485</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1.0499999999999999E-2</v>
      </c>
      <c r="F10" s="52" t="str">
        <f>IF(K20="D","D","-")</f>
        <v>D</v>
      </c>
      <c r="G10" s="52" t="str">
        <f>IF(N20="D","D","-")</f>
        <v>D</v>
      </c>
      <c r="H10" s="52" t="str">
        <f>IF(Q20="D","D","-")</f>
        <v>D</v>
      </c>
      <c r="I10" s="52" t="str">
        <f>IF(T20="D","D","-")</f>
        <v>-</v>
      </c>
      <c r="J10" s="32"/>
      <c r="K10" s="66" t="s">
        <v>230</v>
      </c>
      <c r="L10" s="50" t="s">
        <v>231</v>
      </c>
      <c r="M10" s="75">
        <v>3</v>
      </c>
      <c r="N10" s="50" t="s">
        <v>232</v>
      </c>
      <c r="O10" s="53" t="s">
        <v>374</v>
      </c>
      <c r="P10" s="50" t="s">
        <v>233</v>
      </c>
      <c r="Q10" s="92" t="s">
        <v>286</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1.0499999999999999E-2</v>
      </c>
      <c r="F12" s="268">
        <f>IF($L$24&lt;&gt;"",IF($L$24=3,3,IF($L$24=2,2,1)),"")</f>
        <v>3</v>
      </c>
      <c r="G12" s="268">
        <f>IF($O$24&lt;&gt;"",IF($O$24=3,3,IF($O$24=2,2,1)),"")</f>
        <v>3</v>
      </c>
      <c r="H12" s="268" t="str">
        <f>IF($R$24&lt;&gt;"",IF($R$24=3,3,IF($R$24=2,2,1)),"")</f>
        <v/>
      </c>
      <c r="I12" s="268" t="str">
        <f>IF($U$24&lt;&gt;"",IF($U$24=3,3,IF($U$24=2,2,1)),"")</f>
        <v/>
      </c>
      <c r="J12" s="32"/>
      <c r="K12" s="300" t="s">
        <v>240</v>
      </c>
      <c r="L12" s="274"/>
      <c r="M12" s="280" t="s">
        <v>321</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246</v>
      </c>
      <c r="O14" s="266" t="s">
        <v>247</v>
      </c>
      <c r="P14" s="286" t="s">
        <v>323</v>
      </c>
      <c r="Q14" s="286"/>
      <c r="R14" s="265" t="s">
        <v>305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250</v>
      </c>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486</v>
      </c>
      <c r="L18" s="264"/>
      <c r="M18" s="265"/>
      <c r="N18" s="266" t="s">
        <v>487</v>
      </c>
      <c r="O18" s="264"/>
      <c r="P18" s="265"/>
      <c r="Q18" s="266" t="s">
        <v>488</v>
      </c>
      <c r="R18" s="264"/>
      <c r="S18" s="265"/>
      <c r="T18" s="264" t="s">
        <v>489</v>
      </c>
      <c r="U18" s="264"/>
      <c r="V18" s="265"/>
      <c r="W18" s="9"/>
      <c r="X18" s="9"/>
      <c r="Y18" s="23"/>
    </row>
    <row r="19" spans="1:25" ht="124.5" customHeight="1" outlineLevel="2" x14ac:dyDescent="0.3">
      <c r="A19" s="1"/>
      <c r="B19" s="283"/>
      <c r="C19" s="283"/>
      <c r="D19" s="42" t="s">
        <v>257</v>
      </c>
      <c r="E19" s="307" t="s">
        <v>490</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28</v>
      </c>
      <c r="F20" s="288"/>
      <c r="G20" s="288"/>
      <c r="H20" s="288"/>
      <c r="I20" s="288"/>
      <c r="J20" s="25"/>
      <c r="K20" s="266" t="s">
        <v>260</v>
      </c>
      <c r="L20" s="264"/>
      <c r="M20" s="265"/>
      <c r="N20" s="266" t="s">
        <v>260</v>
      </c>
      <c r="O20" s="264"/>
      <c r="P20" s="265"/>
      <c r="Q20" s="266" t="s">
        <v>260</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313</v>
      </c>
      <c r="L21" s="264"/>
      <c r="M21" s="265"/>
      <c r="N21" s="266" t="s">
        <v>313</v>
      </c>
      <c r="O21" s="264"/>
      <c r="P21" s="265"/>
      <c r="Q21" s="266" t="s">
        <v>491</v>
      </c>
      <c r="R21" s="264"/>
      <c r="S21" s="265"/>
      <c r="T21" s="264" t="s">
        <v>383</v>
      </c>
      <c r="U21" s="264"/>
      <c r="V21" s="264"/>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c r="R24" s="40"/>
      <c r="S24" s="289"/>
      <c r="T24" s="40"/>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492</v>
      </c>
      <c r="L26" s="45" t="s">
        <v>1097</v>
      </c>
      <c r="M26" s="289"/>
      <c r="N26" s="58"/>
      <c r="O26" s="45" t="s">
        <v>1110</v>
      </c>
      <c r="P26" s="289"/>
      <c r="Q26" s="58"/>
      <c r="R26" s="45"/>
      <c r="S26" s="289"/>
      <c r="T26" s="45"/>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30.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799" priority="5" operator="containsText" text="Finalizado">
      <formula>NOT(ISERROR(SEARCH("Finalizado",D15)))</formula>
    </cfRule>
    <cfRule type="containsText" dxfId="798" priority="6" operator="containsText" text="No Planificado">
      <formula>NOT(ISERROR(SEARCH("No Planificado",D15)))</formula>
    </cfRule>
    <cfRule type="containsText" dxfId="797" priority="7" operator="containsText" text="A Tiempo">
      <formula>NOT(ISERROR(SEARCH("A Tiempo",D15)))</formula>
    </cfRule>
    <cfRule type="containsText" dxfId="796" priority="8" operator="containsText" text="Retrasado">
      <formula>NOT(ISERROR(SEARCH("Retrasado",D15)))</formula>
    </cfRule>
  </conditionalFormatting>
  <conditionalFormatting sqref="F7:F8">
    <cfRule type="iconSet" priority="22">
      <iconSet showValue="0">
        <cfvo type="percent" val="0"/>
        <cfvo type="num" val="2"/>
        <cfvo type="num" val="3"/>
      </iconSet>
    </cfRule>
  </conditionalFormatting>
  <conditionalFormatting sqref="F12 F14">
    <cfRule type="iconSet" priority="20">
      <iconSet showValue="0">
        <cfvo type="percent" val="0"/>
        <cfvo type="num" val="2"/>
        <cfvo type="num" val="3"/>
      </iconSet>
    </cfRule>
  </conditionalFormatting>
  <conditionalFormatting sqref="G7:I8">
    <cfRule type="iconSet" priority="21">
      <iconSet showValue="0">
        <cfvo type="percent" val="0"/>
        <cfvo type="num" val="2"/>
        <cfvo type="num" val="3"/>
      </iconSet>
    </cfRule>
  </conditionalFormatting>
  <conditionalFormatting sqref="G12:I12 G14:I14">
    <cfRule type="iconSet" priority="19">
      <iconSet showValue="0">
        <cfvo type="percent" val="0"/>
        <cfvo type="num" val="2"/>
        <cfvo type="num" val="3"/>
      </iconSet>
    </cfRule>
  </conditionalFormatting>
  <conditionalFormatting sqref="K24">
    <cfRule type="iconSet" priority="2">
      <iconSet showValue="0">
        <cfvo type="percent" val="0"/>
        <cfvo type="num" val="2"/>
        <cfvo type="num" val="3"/>
      </iconSet>
    </cfRule>
  </conditionalFormatting>
  <conditionalFormatting sqref="K25:L25">
    <cfRule type="containsText" dxfId="795" priority="23" operator="containsText" text="PENDIENTE">
      <formula>NOT(ISERROR(SEARCH("PENDIENTE",K25)))</formula>
    </cfRule>
    <cfRule type="containsText" dxfId="794" priority="24" operator="containsText" text="NO VALIDADO">
      <formula>NOT(ISERROR(SEARCH("NO VALIDADO",K25)))</formula>
    </cfRule>
    <cfRule type="containsText" dxfId="793" priority="25" operator="containsText" text="VALIDADO">
      <formula>NOT(ISERROR(SEARCH("VALIDADO",K25)))</formula>
    </cfRule>
  </conditionalFormatting>
  <conditionalFormatting sqref="L24 O24 Q24:R24 T24:U24">
    <cfRule type="iconSet" priority="9">
      <iconSet showValue="0">
        <cfvo type="percent" val="0"/>
        <cfvo type="num" val="2"/>
        <cfvo type="num" val="3"/>
      </iconSet>
    </cfRule>
  </conditionalFormatting>
  <conditionalFormatting sqref="N24">
    <cfRule type="iconSet" priority="1">
      <iconSet showValue="0">
        <cfvo type="percent" val="0"/>
        <cfvo type="num" val="2"/>
        <cfvo type="num" val="3"/>
      </iconSet>
    </cfRule>
  </conditionalFormatting>
  <conditionalFormatting sqref="N25:O25">
    <cfRule type="containsText" dxfId="792" priority="16" operator="containsText" text="PENDIENTE">
      <formula>NOT(ISERROR(SEARCH("PENDIENTE",N25)))</formula>
    </cfRule>
    <cfRule type="containsText" dxfId="791" priority="17" operator="containsText" text="NO VALIDADO">
      <formula>NOT(ISERROR(SEARCH("NO VALIDADO",N25)))</formula>
    </cfRule>
    <cfRule type="containsText" dxfId="790" priority="18" operator="containsText" text="VALIDADO">
      <formula>NOT(ISERROR(SEARCH("VALIDADO",N25)))</formula>
    </cfRule>
  </conditionalFormatting>
  <conditionalFormatting sqref="Q25:R25">
    <cfRule type="containsText" dxfId="789" priority="13" operator="containsText" text="PENDIENTE">
      <formula>NOT(ISERROR(SEARCH("PENDIENTE",Q25)))</formula>
    </cfRule>
    <cfRule type="containsText" dxfId="788" priority="14" operator="containsText" text="NO VALIDADO">
      <formula>NOT(ISERROR(SEARCH("NO VALIDADO",Q25)))</formula>
    </cfRule>
    <cfRule type="containsText" dxfId="787" priority="15" operator="containsText" text="VALIDADO">
      <formula>NOT(ISERROR(SEARCH("VALIDADO",Q25)))</formula>
    </cfRule>
  </conditionalFormatting>
  <conditionalFormatting sqref="T25:U25">
    <cfRule type="containsText" dxfId="786" priority="10" operator="containsText" text="PENDIENTE">
      <formula>NOT(ISERROR(SEARCH("PENDIENTE",T25)))</formula>
    </cfRule>
    <cfRule type="containsText" dxfId="785" priority="11" operator="containsText" text="NO VALIDADO">
      <formula>NOT(ISERROR(SEARCH("NO VALIDADO",T25)))</formula>
    </cfRule>
    <cfRule type="containsText" dxfId="784" priority="12" operator="containsText" text="VALIDADO">
      <formula>NOT(ISERROR(SEARCH("VALIDADO",T25)))</formula>
    </cfRule>
  </conditionalFormatting>
  <dataValidations count="6">
    <dataValidation type="list" allowBlank="1" showInputMessage="1" showErrorMessage="1" sqref="D10" xr:uid="{645EFE3E-4D8A-4A44-B272-53595B778363}">
      <formula1>"No Cumple, Parcial,Cumple,Más que Cumple,Mejor Práctica"</formula1>
    </dataValidation>
    <dataValidation type="list" allowBlank="1" showInputMessage="1" showErrorMessage="1" sqref="S10 Q10" xr:uid="{B14E4146-11A9-4775-A419-9B4BC5E0A109}">
      <formula1>"Junio,Julio,Agosto,Septiembre,Octubre"</formula1>
    </dataValidation>
    <dataValidation type="list" allowBlank="1" showInputMessage="1" showErrorMessage="1" sqref="O10" xr:uid="{7D7B7AEF-1A31-41C4-8844-98BE2482CA2A}">
      <formula1>"Alta,Baja,No Planificado"</formula1>
    </dataValidation>
    <dataValidation type="list" allowBlank="1" showInputMessage="1" showErrorMessage="1" sqref="AB14:AB15 R14:R15 N14:N15 V14:V15" xr:uid="{7B20CFC9-0D1D-457E-A36D-C9EC4FC97C06}">
      <formula1>"No Cumple, Parcial, Cumple, Más que Cumple, Mejor Práctica"</formula1>
    </dataValidation>
    <dataValidation type="list" allowBlank="1" showInputMessage="1" showErrorMessage="1" sqref="M12 Q12 U12" xr:uid="{47A1C478-692D-44A8-A86D-903D3A10C01F}">
      <formula1>"Mayo,Junio,Julio,Agosto,Septiembre,Octubre"</formula1>
    </dataValidation>
    <dataValidation type="list" allowBlank="1" showInputMessage="1" showErrorMessage="1" sqref="K14:K15 O14:O15 S14:S15" xr:uid="{6C77BADF-4C0B-4235-AA71-CB9711C79110}">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 id="{66F35351-82AD-4ABD-9F96-B10C1BF6A831}">
            <x14:iconSet iconSet="3Stars" showValue="0">
              <x14:cfvo type="percent">
                <xm:f>0</xm:f>
              </x14:cfvo>
              <x14:cfvo type="num">
                <xm:f>2</xm:f>
              </x14:cfvo>
              <x14:cfvo type="num">
                <xm:f>3</xm:f>
              </x14:cfvo>
            </x14:iconSet>
          </x14:cfRule>
          <xm:sqref>M10</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59FAF-854C-4F20-80D4-80A09934B5DA}">
  <sheetPr codeName="Planilha28"/>
  <dimension ref="A1:AB51"/>
  <sheetViews>
    <sheetView showGridLines="0" zoomScale="50" zoomScaleNormal="50" workbookViewId="0">
      <pane xSplit="3" ySplit="4" topLeftCell="D22"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493</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2</v>
      </c>
      <c r="G7" s="48">
        <f>IF($N$24&lt;&gt;"",IF($N$24=3,3,IF($N$24=2,2,1)),"")</f>
        <v>3</v>
      </c>
      <c r="H7" s="48" t="str">
        <f>IF($Q$24&lt;&gt;"",IF($Q$24=3,3,IF($Q$24=2,2,1)),"")</f>
        <v/>
      </c>
      <c r="I7" s="48" t="str">
        <f>IF($T$24&lt;&gt;"",IF($T$24=3,3,IF($T$24=2,2,1)),"")</f>
        <v/>
      </c>
      <c r="J7" s="32"/>
      <c r="K7" s="49" t="s">
        <v>224</v>
      </c>
      <c r="L7" s="46" t="s">
        <v>225</v>
      </c>
      <c r="M7" s="267" t="s">
        <v>494</v>
      </c>
      <c r="N7" s="267"/>
      <c r="O7" s="267"/>
      <c r="P7" s="46" t="s">
        <v>227</v>
      </c>
      <c r="Q7" s="267" t="s">
        <v>495</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6.9999999999999993E-3</v>
      </c>
      <c r="F10" s="52" t="str">
        <f>IF(K20="D","D","-")</f>
        <v>D</v>
      </c>
      <c r="G10" s="52" t="str">
        <f>IF(N20="D","D","-")</f>
        <v>D</v>
      </c>
      <c r="H10" s="52" t="str">
        <f>IF(Q20="D","D","-")</f>
        <v>D</v>
      </c>
      <c r="I10" s="52" t="str">
        <f>IF(T20="D","D","-")</f>
        <v>D</v>
      </c>
      <c r="J10" s="32"/>
      <c r="K10" s="66" t="s">
        <v>230</v>
      </c>
      <c r="L10" s="50" t="s">
        <v>231</v>
      </c>
      <c r="M10" s="75">
        <v>3</v>
      </c>
      <c r="N10" s="50" t="s">
        <v>232</v>
      </c>
      <c r="O10" s="53" t="s">
        <v>302</v>
      </c>
      <c r="P10" s="50" t="s">
        <v>233</v>
      </c>
      <c r="Q10" s="92" t="s">
        <v>286</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6.9999999999999993E-3</v>
      </c>
      <c r="F12" s="268">
        <f>IF($L$24&lt;&gt;"",IF($L$24=3,3,IF($L$24=2,2,1)),"")</f>
        <v>3</v>
      </c>
      <c r="G12" s="268">
        <f>IF($O$24&lt;&gt;"",IF($O$24=3,3,IF($O$24=2,2,1)),"")</f>
        <v>3</v>
      </c>
      <c r="H12" s="268" t="str">
        <f>IF($R$24&lt;&gt;"",IF($R$24=3,3,IF($R$24=2,2,1)),"")</f>
        <v/>
      </c>
      <c r="I12" s="268" t="str">
        <f>IF($U$24&lt;&gt;"",IF($U$24=3,3,IF($U$24=2,2,1)),"")</f>
        <v/>
      </c>
      <c r="J12" s="32"/>
      <c r="K12" s="300" t="s">
        <v>240</v>
      </c>
      <c r="L12" s="274"/>
      <c r="M12" s="280" t="s">
        <v>321</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305</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0.01</v>
      </c>
      <c r="F18" s="116"/>
      <c r="G18" s="116"/>
      <c r="H18" s="116"/>
      <c r="I18" s="116"/>
      <c r="J18" s="9"/>
      <c r="K18" s="266" t="s">
        <v>1107</v>
      </c>
      <c r="L18" s="264"/>
      <c r="M18" s="265"/>
      <c r="N18" s="266" t="s">
        <v>1106</v>
      </c>
      <c r="O18" s="264"/>
      <c r="P18" s="265"/>
      <c r="Q18" s="266" t="s">
        <v>496</v>
      </c>
      <c r="R18" s="264"/>
      <c r="S18" s="265"/>
      <c r="T18" s="264" t="s">
        <v>497</v>
      </c>
      <c r="U18" s="264"/>
      <c r="V18" s="265"/>
      <c r="W18" s="9"/>
      <c r="X18" s="9"/>
      <c r="Y18" s="23"/>
    </row>
    <row r="19" spans="1:25" ht="124.5" customHeight="1" outlineLevel="2" x14ac:dyDescent="0.3">
      <c r="A19" s="1"/>
      <c r="B19" s="283"/>
      <c r="C19" s="283"/>
      <c r="D19" s="42" t="s">
        <v>257</v>
      </c>
      <c r="E19" s="307" t="s">
        <v>498</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28</v>
      </c>
      <c r="F20" s="288"/>
      <c r="G20" s="288"/>
      <c r="H20" s="288"/>
      <c r="I20" s="288"/>
      <c r="J20" s="25"/>
      <c r="K20" s="266" t="s">
        <v>260</v>
      </c>
      <c r="L20" s="264"/>
      <c r="M20" s="265"/>
      <c r="N20" s="266" t="s">
        <v>260</v>
      </c>
      <c r="O20" s="264"/>
      <c r="P20" s="265"/>
      <c r="Q20" s="266" t="s">
        <v>260</v>
      </c>
      <c r="R20" s="264"/>
      <c r="S20" s="265"/>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499</v>
      </c>
      <c r="L21" s="264"/>
      <c r="M21" s="265"/>
      <c r="N21" s="266" t="s">
        <v>500</v>
      </c>
      <c r="O21" s="264"/>
      <c r="P21" s="265"/>
      <c r="Q21" s="266" t="s">
        <v>500</v>
      </c>
      <c r="R21" s="264"/>
      <c r="S21" s="265"/>
      <c r="T21" s="264" t="s">
        <v>501</v>
      </c>
      <c r="U21" s="264"/>
      <c r="V21" s="264"/>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2</v>
      </c>
      <c r="L24" s="40">
        <v>3</v>
      </c>
      <c r="M24" s="289"/>
      <c r="N24" s="56">
        <v>3</v>
      </c>
      <c r="O24" s="40">
        <v>3</v>
      </c>
      <c r="P24" s="289"/>
      <c r="Q24" s="56"/>
      <c r="R24" s="40"/>
      <c r="S24" s="289"/>
      <c r="T24" s="40"/>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c r="L26" s="45" t="s">
        <v>1108</v>
      </c>
      <c r="M26" s="289"/>
      <c r="N26" s="58" t="s">
        <v>494</v>
      </c>
      <c r="O26" s="45" t="s">
        <v>1109</v>
      </c>
      <c r="P26" s="289"/>
      <c r="Q26" s="58"/>
      <c r="R26" s="45"/>
      <c r="S26" s="289"/>
      <c r="T26" s="45"/>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783" priority="5" operator="containsText" text="Finalizado">
      <formula>NOT(ISERROR(SEARCH("Finalizado",D15)))</formula>
    </cfRule>
    <cfRule type="containsText" dxfId="782" priority="6" operator="containsText" text="No Planificado">
      <formula>NOT(ISERROR(SEARCH("No Planificado",D15)))</formula>
    </cfRule>
    <cfRule type="containsText" dxfId="781" priority="7" operator="containsText" text="A Tiempo">
      <formula>NOT(ISERROR(SEARCH("A Tiempo",D15)))</formula>
    </cfRule>
    <cfRule type="containsText" dxfId="780" priority="8" operator="containsText" text="Retrasado">
      <formula>NOT(ISERROR(SEARCH("Retrasado",D15)))</formula>
    </cfRule>
  </conditionalFormatting>
  <conditionalFormatting sqref="F7:F8">
    <cfRule type="iconSet" priority="22">
      <iconSet showValue="0">
        <cfvo type="percent" val="0"/>
        <cfvo type="num" val="2"/>
        <cfvo type="num" val="3"/>
      </iconSet>
    </cfRule>
  </conditionalFormatting>
  <conditionalFormatting sqref="F12 F14">
    <cfRule type="iconSet" priority="20">
      <iconSet showValue="0">
        <cfvo type="percent" val="0"/>
        <cfvo type="num" val="2"/>
        <cfvo type="num" val="3"/>
      </iconSet>
    </cfRule>
  </conditionalFormatting>
  <conditionalFormatting sqref="G7:I8">
    <cfRule type="iconSet" priority="21">
      <iconSet showValue="0">
        <cfvo type="percent" val="0"/>
        <cfvo type="num" val="2"/>
        <cfvo type="num" val="3"/>
      </iconSet>
    </cfRule>
  </conditionalFormatting>
  <conditionalFormatting sqref="G12:I12 G14:I14">
    <cfRule type="iconSet" priority="19">
      <iconSet showValue="0">
        <cfvo type="percent" val="0"/>
        <cfvo type="num" val="2"/>
        <cfvo type="num" val="3"/>
      </iconSet>
    </cfRule>
  </conditionalFormatting>
  <conditionalFormatting sqref="K24">
    <cfRule type="iconSet" priority="2">
      <iconSet showValue="0">
        <cfvo type="percent" val="0"/>
        <cfvo type="num" val="2"/>
        <cfvo type="num" val="3"/>
      </iconSet>
    </cfRule>
  </conditionalFormatting>
  <conditionalFormatting sqref="K25:L25">
    <cfRule type="containsText" dxfId="779" priority="23" operator="containsText" text="PENDIENTE">
      <formula>NOT(ISERROR(SEARCH("PENDIENTE",K25)))</formula>
    </cfRule>
    <cfRule type="containsText" dxfId="778" priority="24" operator="containsText" text="NO VALIDADO">
      <formula>NOT(ISERROR(SEARCH("NO VALIDADO",K25)))</formula>
    </cfRule>
    <cfRule type="containsText" dxfId="777" priority="25" operator="containsText" text="VALIDADO">
      <formula>NOT(ISERROR(SEARCH("VALIDADO",K25)))</formula>
    </cfRule>
  </conditionalFormatting>
  <conditionalFormatting sqref="L24 O24 Q24:R24 T24:U24">
    <cfRule type="iconSet" priority="9">
      <iconSet showValue="0">
        <cfvo type="percent" val="0"/>
        <cfvo type="num" val="2"/>
        <cfvo type="num" val="3"/>
      </iconSet>
    </cfRule>
  </conditionalFormatting>
  <conditionalFormatting sqref="N24">
    <cfRule type="iconSet" priority="1">
      <iconSet showValue="0">
        <cfvo type="percent" val="0"/>
        <cfvo type="num" val="2"/>
        <cfvo type="num" val="3"/>
      </iconSet>
    </cfRule>
  </conditionalFormatting>
  <conditionalFormatting sqref="N25:O25">
    <cfRule type="containsText" dxfId="776" priority="16" operator="containsText" text="PENDIENTE">
      <formula>NOT(ISERROR(SEARCH("PENDIENTE",N25)))</formula>
    </cfRule>
    <cfRule type="containsText" dxfId="775" priority="17" operator="containsText" text="NO VALIDADO">
      <formula>NOT(ISERROR(SEARCH("NO VALIDADO",N25)))</formula>
    </cfRule>
    <cfRule type="containsText" dxfId="774" priority="18" operator="containsText" text="VALIDADO">
      <formula>NOT(ISERROR(SEARCH("VALIDADO",N25)))</formula>
    </cfRule>
  </conditionalFormatting>
  <conditionalFormatting sqref="Q25:R25">
    <cfRule type="containsText" dxfId="773" priority="13" operator="containsText" text="PENDIENTE">
      <formula>NOT(ISERROR(SEARCH("PENDIENTE",Q25)))</formula>
    </cfRule>
    <cfRule type="containsText" dxfId="772" priority="14" operator="containsText" text="NO VALIDADO">
      <formula>NOT(ISERROR(SEARCH("NO VALIDADO",Q25)))</formula>
    </cfRule>
    <cfRule type="containsText" dxfId="771" priority="15" operator="containsText" text="VALIDADO">
      <formula>NOT(ISERROR(SEARCH("VALIDADO",Q25)))</formula>
    </cfRule>
  </conditionalFormatting>
  <conditionalFormatting sqref="T25:U25">
    <cfRule type="containsText" dxfId="770" priority="10" operator="containsText" text="PENDIENTE">
      <formula>NOT(ISERROR(SEARCH("PENDIENTE",T25)))</formula>
    </cfRule>
    <cfRule type="containsText" dxfId="769" priority="11" operator="containsText" text="NO VALIDADO">
      <formula>NOT(ISERROR(SEARCH("NO VALIDADO",T25)))</formula>
    </cfRule>
    <cfRule type="containsText" dxfId="768" priority="12" operator="containsText" text="VALIDADO">
      <formula>NOT(ISERROR(SEARCH("VALIDADO",T25)))</formula>
    </cfRule>
  </conditionalFormatting>
  <dataValidations count="6">
    <dataValidation type="list" allowBlank="1" showInputMessage="1" showErrorMessage="1" sqref="K14:K15 O14:O15 S14:S15" xr:uid="{A03BB319-3DF1-456A-8FEE-10A30B1911E6}">
      <formula1>"No Iniciado, En Progreso,Finalizado"</formula1>
    </dataValidation>
    <dataValidation type="list" allowBlank="1" showInputMessage="1" showErrorMessage="1" sqref="M12 Q12 U12" xr:uid="{D054DC63-9C99-4632-9F82-BC784983A495}">
      <formula1>"Mayo,Junio,Julio,Agosto,Septiembre,Octubre"</formula1>
    </dataValidation>
    <dataValidation type="list" allowBlank="1" showInputMessage="1" showErrorMessage="1" sqref="AB14:AB15 R14:R15 N14:N15 V14:V15" xr:uid="{29C9A0D2-ACD4-4B3B-84C5-4CB364998305}">
      <formula1>"No Cumple, Parcial, Cumple, Más que Cumple, Mejor Práctica"</formula1>
    </dataValidation>
    <dataValidation type="list" allowBlank="1" showInputMessage="1" showErrorMessage="1" sqref="O10" xr:uid="{B9216EAE-F027-40D4-A9BF-AF3B00ECA61C}">
      <formula1>"Alta,Baja,No Planificado"</formula1>
    </dataValidation>
    <dataValidation type="list" allowBlank="1" showInputMessage="1" showErrorMessage="1" sqref="S10 Q10" xr:uid="{63FEAAA3-4509-447B-8578-A49658E5F184}">
      <formula1>"Junio,Julio,Agosto,Septiembre,Octubre"</formula1>
    </dataValidation>
    <dataValidation type="list" allowBlank="1" showInputMessage="1" showErrorMessage="1" sqref="D10" xr:uid="{BACBD0B5-C43D-4C4F-82C1-00DCEEBD9F7D}">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 id="{71CBDAEC-944B-4AEE-A68A-716F1B55F7AC}">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C4D39-909B-4D96-B148-C1F479B43467}">
  <sheetPr codeName="Planilha2"/>
  <dimension ref="B1:V31"/>
  <sheetViews>
    <sheetView zoomScale="80" zoomScaleNormal="80" workbookViewId="0">
      <selection activeCell="J5" sqref="J5"/>
    </sheetView>
  </sheetViews>
  <sheetFormatPr defaultRowHeight="15" x14ac:dyDescent="0.25"/>
  <cols>
    <col min="2" max="2" width="12.42578125" customWidth="1"/>
    <col min="3" max="3" width="11.28515625" bestFit="1" customWidth="1"/>
    <col min="6" max="6" width="12.42578125" customWidth="1"/>
    <col min="7" max="9" width="11.28515625" bestFit="1" customWidth="1"/>
  </cols>
  <sheetData>
    <row r="1" spans="2:20" x14ac:dyDescent="0.25">
      <c r="F1" t="s">
        <v>8</v>
      </c>
      <c r="N1" t="s">
        <v>9</v>
      </c>
    </row>
    <row r="2" spans="2:20" x14ac:dyDescent="0.25">
      <c r="B2" t="s">
        <v>10</v>
      </c>
      <c r="C2" s="98" t="e">
        <f>#REF!</f>
        <v>#REF!</v>
      </c>
      <c r="G2" t="s">
        <v>11</v>
      </c>
      <c r="H2" t="s">
        <v>12</v>
      </c>
      <c r="I2" t="s">
        <v>13</v>
      </c>
      <c r="J2" t="s">
        <v>14</v>
      </c>
      <c r="K2" t="s">
        <v>15</v>
      </c>
      <c r="L2" t="s">
        <v>16</v>
      </c>
      <c r="O2" t="s">
        <v>17</v>
      </c>
      <c r="P2" t="s">
        <v>18</v>
      </c>
      <c r="Q2" t="s">
        <v>19</v>
      </c>
      <c r="R2" t="s">
        <v>20</v>
      </c>
      <c r="S2" t="s">
        <v>21</v>
      </c>
      <c r="T2" t="s">
        <v>22</v>
      </c>
    </row>
    <row r="3" spans="2:20" x14ac:dyDescent="0.25">
      <c r="C3" s="98"/>
      <c r="F3" t="s">
        <v>10</v>
      </c>
      <c r="G3" s="97">
        <f>Estratégia!E27</f>
        <v>0.25</v>
      </c>
      <c r="H3" s="97">
        <f>Adquisición!E16</f>
        <v>0.05</v>
      </c>
      <c r="I3" s="97">
        <f>Control!E24</f>
        <v>0.2</v>
      </c>
      <c r="J3" s="105">
        <f>Mercado!E26</f>
        <v>0.25</v>
      </c>
      <c r="K3" s="97">
        <f>Mantenimiento!E21</f>
        <v>0.2</v>
      </c>
      <c r="L3" s="97">
        <f>Descarte!E16</f>
        <v>0.05</v>
      </c>
      <c r="N3" t="s">
        <v>23</v>
      </c>
      <c r="O3" s="105">
        <f>G5-G4</f>
        <v>0.46</v>
      </c>
      <c r="P3" s="105">
        <f t="shared" ref="P3:Q3" si="0">H5-H4</f>
        <v>0.24499999999999988</v>
      </c>
      <c r="Q3" s="105">
        <f t="shared" si="0"/>
        <v>0.69000000000000006</v>
      </c>
      <c r="R3" s="97">
        <f>J5-J4</f>
        <v>0.60299999999999998</v>
      </c>
      <c r="S3" s="97">
        <f>K5-K4</f>
        <v>0.22749999999999998</v>
      </c>
      <c r="T3" s="97">
        <f>L5-L4</f>
        <v>0.29000000000000026</v>
      </c>
    </row>
    <row r="4" spans="2:20" x14ac:dyDescent="0.25">
      <c r="B4" t="s">
        <v>24</v>
      </c>
      <c r="C4" s="96" t="e">
        <f>#REF!</f>
        <v>#REF!</v>
      </c>
      <c r="F4" t="s">
        <v>25</v>
      </c>
      <c r="G4" s="105">
        <f>Estratégia!G27/G3</f>
        <v>0.36600000000000005</v>
      </c>
      <c r="H4" s="105">
        <f>Adquisición!G16/H3</f>
        <v>0.65</v>
      </c>
      <c r="I4" s="105">
        <f>Control!G24/I3</f>
        <v>0.16749999999999995</v>
      </c>
      <c r="J4" s="105">
        <f>Mercado!G26/J3</f>
        <v>0.16</v>
      </c>
      <c r="K4" s="105">
        <f>Mantenimiento!G21/K3</f>
        <v>0.435</v>
      </c>
      <c r="L4" s="105">
        <f>Descarte!G16/L3</f>
        <v>0.5149999999999999</v>
      </c>
      <c r="O4" s="99"/>
      <c r="P4" s="99"/>
      <c r="Q4" s="99"/>
    </row>
    <row r="5" spans="2:20" x14ac:dyDescent="0.25">
      <c r="B5" t="s">
        <v>26</v>
      </c>
      <c r="C5" s="96" t="e">
        <f>#REF!</f>
        <v>#REF!</v>
      </c>
      <c r="F5" t="s">
        <v>27</v>
      </c>
      <c r="G5" s="105">
        <f>Estratégia!M27/G3</f>
        <v>0.82600000000000007</v>
      </c>
      <c r="H5" s="105">
        <f>Adquisición!M16/H3</f>
        <v>0.89499999999999991</v>
      </c>
      <c r="I5" s="105">
        <f>Control!M24/I3</f>
        <v>0.85750000000000004</v>
      </c>
      <c r="J5" s="105">
        <f>Mercado!M26/J3</f>
        <v>0.76300000000000001</v>
      </c>
      <c r="K5" s="105">
        <f>Mantenimiento!M21/K3</f>
        <v>0.66249999999999998</v>
      </c>
      <c r="L5" s="105">
        <f>Descarte!M16/L3</f>
        <v>0.80500000000000016</v>
      </c>
      <c r="O5" s="99"/>
      <c r="P5" s="99"/>
      <c r="Q5" s="99"/>
    </row>
    <row r="27" spans="6:22" x14ac:dyDescent="0.25">
      <c r="F27" t="s">
        <v>8</v>
      </c>
    </row>
    <row r="28" spans="6:22" ht="82.5" x14ac:dyDescent="0.25">
      <c r="G28" s="115" t="s">
        <v>28</v>
      </c>
      <c r="H28" s="115" t="s">
        <v>29</v>
      </c>
      <c r="I28" s="115" t="s">
        <v>30</v>
      </c>
      <c r="J28" s="115" t="s">
        <v>31</v>
      </c>
      <c r="K28" s="115" t="s">
        <v>32</v>
      </c>
      <c r="L28" s="115" t="s">
        <v>33</v>
      </c>
      <c r="M28" s="115" t="s">
        <v>34</v>
      </c>
      <c r="N28" s="115" t="s">
        <v>35</v>
      </c>
      <c r="O28" s="115" t="s">
        <v>36</v>
      </c>
      <c r="P28" s="115" t="s">
        <v>37</v>
      </c>
      <c r="Q28" s="115" t="s">
        <v>38</v>
      </c>
      <c r="R28" s="115" t="s">
        <v>39</v>
      </c>
      <c r="S28" s="115" t="s">
        <v>40</v>
      </c>
      <c r="T28" s="115" t="s">
        <v>41</v>
      </c>
      <c r="U28" s="115" t="s">
        <v>42</v>
      </c>
    </row>
    <row r="29" spans="6:22" x14ac:dyDescent="0.25">
      <c r="F29" t="s">
        <v>10</v>
      </c>
      <c r="G29" s="159" t="e">
        <f>SUMIF(#REF!,Calculos!G$28,#REF!)</f>
        <v>#REF!</v>
      </c>
      <c r="H29" s="159" t="e">
        <f>SUMIF(#REF!,Calculos!H$28,#REF!)</f>
        <v>#REF!</v>
      </c>
      <c r="I29" s="159" t="e">
        <f>SUMIF(#REF!,Calculos!I$28,#REF!)</f>
        <v>#REF!</v>
      </c>
      <c r="J29" s="159" t="e">
        <f>SUMIF(#REF!,Calculos!J$28,#REF!)</f>
        <v>#REF!</v>
      </c>
      <c r="K29" s="159" t="e">
        <f>SUMIF(#REF!,Calculos!K$28,#REF!)</f>
        <v>#REF!</v>
      </c>
      <c r="L29" s="159" t="e">
        <f>SUMIF(#REF!,Calculos!L$28,#REF!)</f>
        <v>#REF!</v>
      </c>
      <c r="M29" s="159" t="e">
        <f>SUMIF(#REF!,Calculos!M$28,#REF!)</f>
        <v>#REF!</v>
      </c>
      <c r="N29" s="159" t="e">
        <f>SUMIF(#REF!,Calculos!N$28,#REF!)</f>
        <v>#REF!</v>
      </c>
      <c r="O29" s="159" t="e">
        <f>SUMIF(#REF!,Calculos!O$28,#REF!)</f>
        <v>#REF!</v>
      </c>
      <c r="P29" s="159" t="e">
        <f>SUMIF(#REF!,Calculos!P$28,#REF!)</f>
        <v>#REF!</v>
      </c>
      <c r="Q29" s="159" t="e">
        <f>SUMIF(#REF!,Calculos!Q$28,#REF!)</f>
        <v>#REF!</v>
      </c>
      <c r="R29" s="159" t="e">
        <f>SUMIF(#REF!,Calculos!R$28,#REF!)</f>
        <v>#REF!</v>
      </c>
      <c r="S29" s="105" t="e">
        <f>SUMIF(#REF!,Calculos!S$28,#REF!)</f>
        <v>#REF!</v>
      </c>
      <c r="T29" s="105" t="e">
        <f>SUMIF(#REF!,Calculos!T$28,#REF!)</f>
        <v>#REF!</v>
      </c>
      <c r="U29" s="105" t="e">
        <f>SUMIF(#REF!,Calculos!U$28,#REF!)</f>
        <v>#REF!</v>
      </c>
      <c r="V29" s="97"/>
    </row>
    <row r="30" spans="6:22" x14ac:dyDescent="0.25">
      <c r="F30" t="s">
        <v>25</v>
      </c>
      <c r="G30" s="105" t="e">
        <f>SUMIF(#REF!,Calculos!G$28,#REF!)</f>
        <v>#REF!</v>
      </c>
      <c r="H30" s="105" t="e">
        <f>SUMIF(#REF!,Calculos!H$28,#REF!)</f>
        <v>#REF!</v>
      </c>
      <c r="I30" s="105" t="e">
        <f>SUMIF(#REF!,Calculos!I$28,#REF!)</f>
        <v>#REF!</v>
      </c>
      <c r="J30" s="105" t="e">
        <f>SUMIF(#REF!,Calculos!J$28,#REF!)</f>
        <v>#REF!</v>
      </c>
      <c r="K30" s="105" t="e">
        <f>SUMIF(#REF!,Calculos!K$28,#REF!)</f>
        <v>#REF!</v>
      </c>
      <c r="L30" s="105" t="e">
        <f>SUMIF(#REF!,Calculos!L$28,#REF!)</f>
        <v>#REF!</v>
      </c>
      <c r="M30" s="105" t="e">
        <f>SUMIF(#REF!,Calculos!M$28,#REF!)</f>
        <v>#REF!</v>
      </c>
      <c r="N30" s="105" t="e">
        <f>SUMIF(#REF!,Calculos!N$28,#REF!)</f>
        <v>#REF!</v>
      </c>
      <c r="O30" s="105" t="e">
        <f>SUMIF(#REF!,Calculos!O$28,#REF!)</f>
        <v>#REF!</v>
      </c>
      <c r="P30" s="105" t="e">
        <f>SUMIF(#REF!,Calculos!P$28,#REF!)</f>
        <v>#REF!</v>
      </c>
      <c r="Q30" s="105" t="e">
        <f>SUMIF(#REF!,Calculos!Q$28,#REF!)</f>
        <v>#REF!</v>
      </c>
      <c r="R30" s="105" t="e">
        <f>SUMIF(#REF!,Calculos!R$28,#REF!)</f>
        <v>#REF!</v>
      </c>
      <c r="S30" s="105" t="e">
        <f>SUMIF(#REF!,Calculos!S$28,#REF!)</f>
        <v>#REF!</v>
      </c>
      <c r="T30" s="105" t="e">
        <f>SUMIF(#REF!,Calculos!T$28,#REF!)</f>
        <v>#REF!</v>
      </c>
      <c r="U30" s="105" t="e">
        <f>SUMIF(#REF!,Calculos!U$28,#REF!)</f>
        <v>#REF!</v>
      </c>
    </row>
    <row r="31" spans="6:22" x14ac:dyDescent="0.25">
      <c r="F31" t="s">
        <v>27</v>
      </c>
      <c r="G31" s="105" t="e">
        <f>SUMIF(#REF!,Calculos!G$28,#REF!)</f>
        <v>#REF!</v>
      </c>
      <c r="H31" s="105" t="e">
        <f>SUMIF(#REF!,Calculos!H$28,#REF!)</f>
        <v>#REF!</v>
      </c>
      <c r="I31" s="105" t="e">
        <f>SUMIF(#REF!,Calculos!I$28,#REF!)</f>
        <v>#REF!</v>
      </c>
      <c r="J31" s="105" t="e">
        <f>SUMIF(#REF!,Calculos!J$28,#REF!)</f>
        <v>#REF!</v>
      </c>
      <c r="K31" s="105" t="e">
        <f>SUMIF(#REF!,Calculos!K$28,#REF!)</f>
        <v>#REF!</v>
      </c>
      <c r="L31" s="105" t="e">
        <f>SUMIF(#REF!,Calculos!L$28,#REF!)</f>
        <v>#REF!</v>
      </c>
      <c r="M31" s="105" t="e">
        <f>SUMIF(#REF!,Calculos!M$28,#REF!)</f>
        <v>#REF!</v>
      </c>
      <c r="N31" s="105" t="e">
        <f>SUMIF(#REF!,Calculos!N$28,#REF!)</f>
        <v>#REF!</v>
      </c>
      <c r="O31" s="105" t="e">
        <f>SUMIF(#REF!,Calculos!O$28,#REF!)</f>
        <v>#REF!</v>
      </c>
      <c r="P31" s="105" t="e">
        <f>SUMIF(#REF!,Calculos!P$28,#REF!)</f>
        <v>#REF!</v>
      </c>
      <c r="Q31" s="105" t="e">
        <f>SUMIF(#REF!,Calculos!Q$28,#REF!)</f>
        <v>#REF!</v>
      </c>
      <c r="R31" s="105" t="e">
        <f>SUMIF(#REF!,Calculos!R$28,#REF!)</f>
        <v>#REF!</v>
      </c>
      <c r="S31" s="105" t="e">
        <f>SUMIF(#REF!,Calculos!S$28,#REF!)</f>
        <v>#REF!</v>
      </c>
      <c r="T31" s="105" t="e">
        <f>SUMIF(#REF!,Calculos!T$28,#REF!)</f>
        <v>#REF!</v>
      </c>
      <c r="U31" s="105" t="e">
        <f>SUMIF(#REF!,Calculos!U$28,#REF!)</f>
        <v>#REF!</v>
      </c>
    </row>
  </sheetData>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8D06C-6DF8-4753-A402-A1A6974ED08E}">
  <sheetPr codeName="Planilha29"/>
  <dimension ref="A1:AB51"/>
  <sheetViews>
    <sheetView showGridLines="0" zoomScale="50" zoomScaleNormal="50" workbookViewId="0">
      <pane xSplit="3" ySplit="4" topLeftCell="M16"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8" t="s">
        <v>502</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Melhor Prática</v>
      </c>
      <c r="E7" s="47">
        <f>IF($D7="Não cumpre",0,IF($D7="Parcial",$E$18*0.4,IF($D7="Cumpre",$E$18*0.7,IF($D7="Mais que cumpre",$E$18*0.85,IF($D7="Melhor Prática",$E$18,0)))))</f>
        <v>1.4999999999999999E-2</v>
      </c>
      <c r="F7" s="48">
        <f>IF($K$24&lt;&gt;"",IF($K$24=3,3,IF($K$24=2,2,1)),"")</f>
        <v>3</v>
      </c>
      <c r="G7" s="48">
        <f>IF($N$24&lt;&gt;"",IF($N$24=3,3,IF($N$24=2,2,1)),"")</f>
        <v>3</v>
      </c>
      <c r="H7" s="48">
        <f>IF($Q$24&lt;&gt;"",IF($Q$24=3,3,IF($Q$24=2,2,1)),"")</f>
        <v>3</v>
      </c>
      <c r="I7" s="48">
        <f>IF($T$24&lt;&gt;"",IF($T$24=3,3,IF($T$24=2,2,1)),"")</f>
        <v>3</v>
      </c>
      <c r="J7" s="32"/>
      <c r="K7" s="49" t="s">
        <v>224</v>
      </c>
      <c r="L7" s="46" t="s">
        <v>225</v>
      </c>
      <c r="M7" s="267" t="s">
        <v>503</v>
      </c>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1.4999999999999999E-2</v>
      </c>
      <c r="F10" s="52" t="str">
        <f>IF(K20="D","D","-")</f>
        <v>-</v>
      </c>
      <c r="G10" s="52" t="str">
        <f>IF(N20="D","D","-")</f>
        <v>-</v>
      </c>
      <c r="H10" s="52" t="str">
        <f>IF(Q20="D","D","-")</f>
        <v>-</v>
      </c>
      <c r="I10" s="52" t="str">
        <f>IF(T20="D","D","-")</f>
        <v>D</v>
      </c>
      <c r="J10" s="32"/>
      <c r="K10" s="66" t="s">
        <v>230</v>
      </c>
      <c r="L10" s="50" t="s">
        <v>231</v>
      </c>
      <c r="M10" s="75">
        <v>1</v>
      </c>
      <c r="N10" s="50" t="s">
        <v>232</v>
      </c>
      <c r="O10" s="53" t="s">
        <v>285</v>
      </c>
      <c r="P10" s="50" t="s">
        <v>233</v>
      </c>
      <c r="Q10" s="92" t="s">
        <v>286</v>
      </c>
      <c r="R10" s="50" t="s">
        <v>235</v>
      </c>
      <c r="S10" s="92" t="s">
        <v>286</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1.4999999999999999E-2</v>
      </c>
      <c r="F12" s="268">
        <f>IF($L$24&lt;&gt;"",IF($L$24=3,3,IF($L$24=2,2,1)),"")</f>
        <v>3</v>
      </c>
      <c r="G12" s="268">
        <f>IF($O$24&lt;&gt;"",IF($O$24=3,3,IF($O$24=2,2,1)),"")</f>
        <v>3</v>
      </c>
      <c r="H12" s="268">
        <f>IF($R$24&lt;&gt;"",IF($R$24=3,3,IF($R$24=2,2,1)),"")</f>
        <v>3</v>
      </c>
      <c r="I12" s="268">
        <f>IF($U$24&lt;&gt;"",IF($U$24=3,3,IF($U$24=2,2,1)),"")</f>
        <v>3</v>
      </c>
      <c r="J12" s="32"/>
      <c r="K12" s="300" t="s">
        <v>240</v>
      </c>
      <c r="L12" s="274"/>
      <c r="M12" s="280"/>
      <c r="N12" s="299"/>
      <c r="O12" s="300" t="s">
        <v>240</v>
      </c>
      <c r="P12" s="274"/>
      <c r="Q12" s="280"/>
      <c r="R12" s="299"/>
      <c r="S12" s="274" t="s">
        <v>240</v>
      </c>
      <c r="T12" s="274"/>
      <c r="U12" s="280"/>
      <c r="V12" s="280"/>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f>IF($D13="No Cumple",0,IF($D13="Parcial",$E$18*0.4,IF($D13="Cumple",$E$18*0.7,IF($D13="Más que Cumple",$E$18*0.85,IF($D13="Mejor Práctica",$E$18,0)))))</f>
        <v>0</v>
      </c>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f>IF($D14="No Cumple",0,IF($D14="Parcial",$E$18*0.4,IF($D14="Cumple",$E$18*0.7,IF($D14="Más que Cumple",$E$18*0.85,IF($D14="Mejor Práctica",$E$18,0)))))</f>
        <v>0</v>
      </c>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c r="I16" s="9" t="s">
        <v>250</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1.4999999999999999E-2</v>
      </c>
      <c r="F18" s="41"/>
      <c r="G18" s="41"/>
      <c r="H18" s="41"/>
      <c r="I18" s="41"/>
      <c r="J18" s="9"/>
      <c r="K18" s="266" t="s">
        <v>504</v>
      </c>
      <c r="L18" s="264"/>
      <c r="M18" s="265"/>
      <c r="N18" s="266" t="s">
        <v>505</v>
      </c>
      <c r="O18" s="264"/>
      <c r="P18" s="265"/>
      <c r="Q18" s="266" t="s">
        <v>506</v>
      </c>
      <c r="R18" s="264"/>
      <c r="S18" s="265"/>
      <c r="T18" s="264" t="s">
        <v>507</v>
      </c>
      <c r="U18" s="264"/>
      <c r="V18" s="265"/>
      <c r="W18" s="9"/>
      <c r="X18" s="9"/>
      <c r="Y18" s="23"/>
    </row>
    <row r="19" spans="1:25" ht="124.5" customHeight="1" outlineLevel="2" x14ac:dyDescent="0.3">
      <c r="A19" s="1"/>
      <c r="B19" s="283"/>
      <c r="C19" s="283"/>
      <c r="D19" s="42" t="s">
        <v>257</v>
      </c>
      <c r="E19" s="307" t="s">
        <v>508</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87</v>
      </c>
      <c r="F20" s="288"/>
      <c r="G20" s="288"/>
      <c r="H20" s="288"/>
      <c r="I20" s="288"/>
      <c r="J20" s="25"/>
      <c r="K20" s="266"/>
      <c r="L20" s="264"/>
      <c r="M20" s="265"/>
      <c r="N20" s="266"/>
      <c r="O20" s="264"/>
      <c r="P20" s="265"/>
      <c r="Q20" s="266"/>
      <c r="R20" s="264"/>
      <c r="S20" s="265"/>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509</v>
      </c>
      <c r="L21" s="264"/>
      <c r="M21" s="265"/>
      <c r="N21" s="266" t="s">
        <v>509</v>
      </c>
      <c r="O21" s="264"/>
      <c r="P21" s="265"/>
      <c r="Q21" s="266" t="s">
        <v>509</v>
      </c>
      <c r="R21" s="264"/>
      <c r="S21" s="265"/>
      <c r="T21" s="264" t="s">
        <v>509</v>
      </c>
      <c r="U21" s="264"/>
      <c r="V21" s="264"/>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3</v>
      </c>
      <c r="R24" s="40">
        <v>3</v>
      </c>
      <c r="S24" s="289"/>
      <c r="T24" s="40">
        <v>3</v>
      </c>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510</v>
      </c>
      <c r="L26" s="45" t="s">
        <v>1134</v>
      </c>
      <c r="M26" s="289"/>
      <c r="N26" s="58"/>
      <c r="O26" s="45" t="s">
        <v>1135</v>
      </c>
      <c r="P26" s="289"/>
      <c r="Q26" s="58"/>
      <c r="R26" s="45" t="s">
        <v>1136</v>
      </c>
      <c r="S26" s="289"/>
      <c r="T26" s="45" t="s">
        <v>511</v>
      </c>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767" priority="2" operator="containsText" text="Finalizado">
      <formula>NOT(ISERROR(SEARCH("Finalizado",D15)))</formula>
    </cfRule>
    <cfRule type="containsText" dxfId="766" priority="3" operator="containsText" text="No Planificado">
      <formula>NOT(ISERROR(SEARCH("No Planificado",D15)))</formula>
    </cfRule>
    <cfRule type="containsText" dxfId="765" priority="4" operator="containsText" text="A Tiempo">
      <formula>NOT(ISERROR(SEARCH("A Tiempo",D15)))</formula>
    </cfRule>
    <cfRule type="containsText" dxfId="764"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5">
      <iconSet showValue="0">
        <cfvo type="percent" val="0"/>
        <cfvo type="num" val="2"/>
        <cfvo type="num" val="3"/>
      </iconSet>
    </cfRule>
  </conditionalFormatting>
  <conditionalFormatting sqref="K25:L25">
    <cfRule type="containsText" dxfId="763" priority="29" operator="containsText" text="PENDIENTE">
      <formula>NOT(ISERROR(SEARCH("PENDIENTE",K25)))</formula>
    </cfRule>
    <cfRule type="containsText" dxfId="762" priority="30" operator="containsText" text="NO VALIDADO">
      <formula>NOT(ISERROR(SEARCH("NO VALIDADO",K25)))</formula>
    </cfRule>
    <cfRule type="containsText" dxfId="761" priority="31" operator="containsText" text="VALIDADO">
      <formula>NOT(ISERROR(SEARCH("VALIDADO",K25)))</formula>
    </cfRule>
  </conditionalFormatting>
  <conditionalFormatting sqref="N25:O25">
    <cfRule type="containsText" dxfId="760" priority="22" operator="containsText" text="PENDIENTE">
      <formula>NOT(ISERROR(SEARCH("PENDIENTE",N25)))</formula>
    </cfRule>
    <cfRule type="containsText" dxfId="759" priority="23" operator="containsText" text="NO VALIDADO">
      <formula>NOT(ISERROR(SEARCH("NO VALIDADO",N25)))</formula>
    </cfRule>
    <cfRule type="containsText" dxfId="758" priority="24" operator="containsText" text="VALIDADO">
      <formula>NOT(ISERROR(SEARCH("VALIDADO",N25)))</formula>
    </cfRule>
  </conditionalFormatting>
  <conditionalFormatting sqref="Q25:R25">
    <cfRule type="containsText" dxfId="757" priority="19" operator="containsText" text="PENDIENTE">
      <formula>NOT(ISERROR(SEARCH("PENDIENTE",Q25)))</formula>
    </cfRule>
    <cfRule type="containsText" dxfId="756" priority="20" operator="containsText" text="NO VALIDADO">
      <formula>NOT(ISERROR(SEARCH("NO VALIDADO",Q25)))</formula>
    </cfRule>
    <cfRule type="containsText" dxfId="755" priority="21" operator="containsText" text="VALIDADO">
      <formula>NOT(ISERROR(SEARCH("VALIDADO",Q25)))</formula>
    </cfRule>
  </conditionalFormatting>
  <conditionalFormatting sqref="T25:U25">
    <cfRule type="containsText" dxfId="754" priority="16" operator="containsText" text="PENDIENTE">
      <formula>NOT(ISERROR(SEARCH("PENDIENTE",T25)))</formula>
    </cfRule>
    <cfRule type="containsText" dxfId="753" priority="17" operator="containsText" text="NO VALIDADO">
      <formula>NOT(ISERROR(SEARCH("NO VALIDADO",T25)))</formula>
    </cfRule>
    <cfRule type="containsText" dxfId="752" priority="18" operator="containsText" text="VALIDADO">
      <formula>NOT(ISERROR(SEARCH("VALIDADO",T25)))</formula>
    </cfRule>
  </conditionalFormatting>
  <dataValidations count="6">
    <dataValidation type="list" allowBlank="1" showInputMessage="1" showErrorMessage="1" sqref="K14:K15 O14:O15 S14:S15" xr:uid="{1DD59F17-3861-4EE6-96E4-9B6CFF9FD40B}">
      <formula1>"No Iniciado, En Progreso,Finalizado"</formula1>
    </dataValidation>
    <dataValidation type="list" allowBlank="1" showInputMessage="1" showErrorMessage="1" sqref="M12 Q12 U12" xr:uid="{3D42DF2F-4768-4B69-A748-62C6643F44D3}">
      <formula1>"Mayo,Junio,Julio,Agosto,Septiembre,Octubre"</formula1>
    </dataValidation>
    <dataValidation type="list" allowBlank="1" showInputMessage="1" showErrorMessage="1" sqref="AB14:AB15 R14:R15 N14:N15 V14:V15" xr:uid="{3BD7AC34-4B8D-4386-965E-D70C40DE6C38}">
      <formula1>"No Cumple, Parcial, Cumple, Más que Cumple, Mejor Práctica"</formula1>
    </dataValidation>
    <dataValidation type="list" allowBlank="1" showInputMessage="1" showErrorMessage="1" sqref="O10" xr:uid="{A955811F-9871-4007-8E26-A10FC29DC9BA}">
      <formula1>"Alta,Baja,No Planificado"</formula1>
    </dataValidation>
    <dataValidation type="list" allowBlank="1" showInputMessage="1" showErrorMessage="1" sqref="S10 Q10" xr:uid="{EEDD894E-681C-4ACC-AFE9-999EE1BC5914}">
      <formula1>"Junio,Julio,Agosto,Septiembre,Octubre"</formula1>
    </dataValidation>
    <dataValidation type="list" allowBlank="1" showInputMessage="1" showErrorMessage="1" sqref="D10" xr:uid="{A06EA238-32BB-4CEA-A1BD-915B1EC2D9D0}">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0AA1FD9-1F4E-4F79-BFFC-6593673FBB2E}">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FDB9A-9922-4725-9CE4-54DA4C1C3A55}">
  <sheetPr codeName="Planilha30"/>
  <dimension ref="A1:AB51"/>
  <sheetViews>
    <sheetView showGridLines="0" zoomScale="50" zoomScaleNormal="50" workbookViewId="0">
      <pane xSplit="3" ySplit="4" topLeftCell="E10"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512</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4.0000000000000001E-3</v>
      </c>
      <c r="F7" s="48">
        <f>IF($K$24&lt;&gt;"",IF($K$24=3,3,IF($K$24=2,2,1)),"")</f>
        <v>3</v>
      </c>
      <c r="G7" s="48">
        <f>IF($N$24&lt;&gt;"",IF($N$24=3,3,IF($N$24=2,2,1)),"")</f>
        <v>2</v>
      </c>
      <c r="H7" s="48">
        <f>IF($Q$24&lt;&gt;"",IF($Q$24=3,3,IF($Q$24=2,2,1)),"")</f>
        <v>1</v>
      </c>
      <c r="I7" s="48" t="str">
        <f>IF($T$24&lt;&gt;"",IF($T$24=3,3,IF($T$24=2,2,1)),"")</f>
        <v/>
      </c>
      <c r="J7" s="32"/>
      <c r="K7" s="49" t="s">
        <v>224</v>
      </c>
      <c r="L7" s="46" t="s">
        <v>225</v>
      </c>
      <c r="M7" s="267" t="s">
        <v>513</v>
      </c>
      <c r="N7" s="267"/>
      <c r="O7" s="267"/>
      <c r="P7" s="46" t="s">
        <v>227</v>
      </c>
      <c r="Q7" s="267" t="s">
        <v>514</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6.9999999999999993E-3</v>
      </c>
      <c r="F10" s="52" t="str">
        <f>IF(K20="D","D","-")</f>
        <v>D</v>
      </c>
      <c r="G10" s="52" t="str">
        <f>IF(N20="D","D","-")</f>
        <v>-</v>
      </c>
      <c r="H10" s="52" t="str">
        <f>IF(Q20="D","D","-")</f>
        <v>-</v>
      </c>
      <c r="I10" s="52" t="str">
        <f>IF(T20="D","D","-")</f>
        <v>D</v>
      </c>
      <c r="J10" s="32"/>
      <c r="K10" s="66" t="s">
        <v>230</v>
      </c>
      <c r="L10" s="50" t="s">
        <v>231</v>
      </c>
      <c r="M10" s="75"/>
      <c r="N10" s="50" t="s">
        <v>232</v>
      </c>
      <c r="O10" s="53"/>
      <c r="P10" s="50" t="s">
        <v>233</v>
      </c>
      <c r="Q10" s="92"/>
      <c r="R10" s="50" t="s">
        <v>235</v>
      </c>
      <c r="S10" s="92"/>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6.9999999999999993E-3</v>
      </c>
      <c r="F12" s="268">
        <f>IF($L$24&lt;&gt;"",IF($L$24=3,3,IF($L$24=2,2,1)),"")</f>
        <v>3</v>
      </c>
      <c r="G12" s="268">
        <f>IF($O$24&lt;&gt;"",IF($O$24=3,3,IF($O$24=2,2,1)),"")</f>
        <v>3</v>
      </c>
      <c r="H12" s="268">
        <f>IF($R$24&lt;&gt;"",IF($R$24=3,3,IF($R$24=2,2,1)),"")</f>
        <v>1</v>
      </c>
      <c r="I12" s="268">
        <f>IF($U$24&lt;&gt;"",IF($U$24=3,3,IF($U$24=2,2,1)),"")</f>
        <v>1</v>
      </c>
      <c r="J12" s="32"/>
      <c r="K12" s="300" t="s">
        <v>240</v>
      </c>
      <c r="L12" s="274"/>
      <c r="M12" s="280" t="s">
        <v>321</v>
      </c>
      <c r="N12" s="299"/>
      <c r="O12" s="300" t="s">
        <v>240</v>
      </c>
      <c r="P12" s="274"/>
      <c r="Q12" s="280" t="s">
        <v>303</v>
      </c>
      <c r="R12" s="299"/>
      <c r="S12" s="274" t="s">
        <v>240</v>
      </c>
      <c r="T12" s="274"/>
      <c r="U12" s="280"/>
      <c r="V12" s="280"/>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f>IF($D13="No Cumple",0,IF($D13="Parcial",$E$18*0.4,IF($D13="Cumple",$E$18*0.7,IF($D13="Más que Cumple",$E$18*0.85,IF($D13="Mejor Práctica",$E$18,0)))))</f>
        <v>0</v>
      </c>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f>IF($D14="No Cumple",0,IF($D14="Parcial",$E$18*0.4,IF($D14="Cumple",$E$18*0.7,IF($D14="Más que Cumple",$E$18*0.85,IF($D14="Mejor Práctica",$E$18,0)))))</f>
        <v>0</v>
      </c>
      <c r="F14" s="38"/>
      <c r="G14" s="38"/>
      <c r="H14" s="38"/>
      <c r="I14" s="38"/>
      <c r="J14" s="32"/>
      <c r="K14" s="266" t="s">
        <v>247</v>
      </c>
      <c r="L14" s="286"/>
      <c r="M14" s="286"/>
      <c r="N14" s="265" t="s">
        <v>305</v>
      </c>
      <c r="O14" s="266" t="s">
        <v>247</v>
      </c>
      <c r="P14" s="286" t="s">
        <v>323</v>
      </c>
      <c r="Q14" s="286"/>
      <c r="R14" s="265" t="s">
        <v>305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No Planificado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t="s">
        <v>250</v>
      </c>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0.01</v>
      </c>
      <c r="F18" s="41"/>
      <c r="G18" s="41"/>
      <c r="H18" s="41"/>
      <c r="I18" s="41"/>
      <c r="J18" s="9"/>
      <c r="K18" s="266" t="s">
        <v>515</v>
      </c>
      <c r="L18" s="264"/>
      <c r="M18" s="265"/>
      <c r="N18" s="266" t="s">
        <v>516</v>
      </c>
      <c r="O18" s="264"/>
      <c r="P18" s="265"/>
      <c r="Q18" s="266" t="s">
        <v>517</v>
      </c>
      <c r="R18" s="264"/>
      <c r="S18" s="265"/>
      <c r="T18" s="264" t="s">
        <v>518</v>
      </c>
      <c r="U18" s="264"/>
      <c r="V18" s="265"/>
      <c r="W18" s="9"/>
      <c r="X18" s="9"/>
      <c r="Y18" s="23"/>
    </row>
    <row r="19" spans="1:25" ht="124.5" customHeight="1" outlineLevel="2" x14ac:dyDescent="0.3">
      <c r="A19" s="1"/>
      <c r="B19" s="283"/>
      <c r="C19" s="283"/>
      <c r="D19" s="42" t="s">
        <v>257</v>
      </c>
      <c r="E19" s="307" t="s">
        <v>519</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118</v>
      </c>
      <c r="F20" s="288"/>
      <c r="G20" s="288"/>
      <c r="H20" s="288"/>
      <c r="I20" s="288"/>
      <c r="J20" s="25"/>
      <c r="K20" s="266" t="s">
        <v>260</v>
      </c>
      <c r="L20" s="264"/>
      <c r="M20" s="265"/>
      <c r="N20" s="266"/>
      <c r="O20" s="264"/>
      <c r="P20" s="265"/>
      <c r="Q20" s="266"/>
      <c r="R20" s="264"/>
      <c r="S20" s="265"/>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520</v>
      </c>
      <c r="L21" s="264"/>
      <c r="M21" s="265"/>
      <c r="N21" s="266" t="s">
        <v>521</v>
      </c>
      <c r="O21" s="264"/>
      <c r="P21" s="265"/>
      <c r="Q21" s="266" t="s">
        <v>509</v>
      </c>
      <c r="R21" s="264"/>
      <c r="S21" s="265"/>
      <c r="T21" s="264" t="s">
        <v>522</v>
      </c>
      <c r="U21" s="264"/>
      <c r="V21" s="264"/>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v>1</v>
      </c>
      <c r="R24" s="40">
        <v>1</v>
      </c>
      <c r="S24" s="289"/>
      <c r="T24" s="40"/>
      <c r="U24" s="40">
        <v>1</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312.75" customHeight="1" x14ac:dyDescent="0.3">
      <c r="A26" s="1"/>
      <c r="B26" s="9"/>
      <c r="C26" s="9"/>
      <c r="D26" s="9"/>
      <c r="F26" s="291"/>
      <c r="G26" s="292" t="s">
        <v>242</v>
      </c>
      <c r="H26" s="292"/>
      <c r="I26" s="292"/>
      <c r="K26" s="58" t="s">
        <v>523</v>
      </c>
      <c r="L26" s="45" t="s">
        <v>1137</v>
      </c>
      <c r="M26" s="289"/>
      <c r="N26" s="58" t="s">
        <v>524</v>
      </c>
      <c r="O26" s="45" t="s">
        <v>525</v>
      </c>
      <c r="P26" s="289"/>
      <c r="Q26" s="58" t="s">
        <v>526</v>
      </c>
      <c r="R26" s="45"/>
      <c r="S26" s="289"/>
      <c r="T26" s="45"/>
      <c r="U26" s="45" t="s">
        <v>527</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68.2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751" priority="2" operator="containsText" text="Finalizado">
      <formula>NOT(ISERROR(SEARCH("Finalizado",D15)))</formula>
    </cfRule>
    <cfRule type="containsText" dxfId="750" priority="3" operator="containsText" text="No Planificado">
      <formula>NOT(ISERROR(SEARCH("No Planificado",D15)))</formula>
    </cfRule>
    <cfRule type="containsText" dxfId="749" priority="4" operator="containsText" text="A Tiempo">
      <formula>NOT(ISERROR(SEARCH("A Tiempo",D15)))</formula>
    </cfRule>
    <cfRule type="containsText" dxfId="748"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747" priority="20" operator="containsText" text="PENDIENTE">
      <formula>NOT(ISERROR(SEARCH("PENDIENTE",K25)))</formula>
    </cfRule>
    <cfRule type="containsText" dxfId="746" priority="21" operator="containsText" text="NO VALIDADO">
      <formula>NOT(ISERROR(SEARCH("NO VALIDADO",K25)))</formula>
    </cfRule>
    <cfRule type="containsText" dxfId="745" priority="22" operator="containsText" text="VALIDADO">
      <formula>NOT(ISERROR(SEARCH("VALIDADO",K25)))</formula>
    </cfRule>
  </conditionalFormatting>
  <conditionalFormatting sqref="N25:O25">
    <cfRule type="containsText" dxfId="744" priority="17" operator="containsText" text="PENDIENTE">
      <formula>NOT(ISERROR(SEARCH("PENDIENTE",N25)))</formula>
    </cfRule>
    <cfRule type="containsText" dxfId="743" priority="18" operator="containsText" text="NO VALIDADO">
      <formula>NOT(ISERROR(SEARCH("NO VALIDADO",N25)))</formula>
    </cfRule>
    <cfRule type="containsText" dxfId="742" priority="19" operator="containsText" text="VALIDADO">
      <formula>NOT(ISERROR(SEARCH("VALIDADO",N25)))</formula>
    </cfRule>
  </conditionalFormatting>
  <conditionalFormatting sqref="Q25:R25">
    <cfRule type="containsText" dxfId="741" priority="14" operator="containsText" text="PENDIENTE">
      <formula>NOT(ISERROR(SEARCH("PENDIENTE",Q25)))</formula>
    </cfRule>
    <cfRule type="containsText" dxfId="740" priority="15" operator="containsText" text="NO VALIDADO">
      <formula>NOT(ISERROR(SEARCH("NO VALIDADO",Q25)))</formula>
    </cfRule>
    <cfRule type="containsText" dxfId="739" priority="16" operator="containsText" text="VALIDADO">
      <formula>NOT(ISERROR(SEARCH("VALIDADO",Q25)))</formula>
    </cfRule>
  </conditionalFormatting>
  <conditionalFormatting sqref="T25:U25">
    <cfRule type="containsText" dxfId="738" priority="11" operator="containsText" text="PENDIENTE">
      <formula>NOT(ISERROR(SEARCH("PENDIENTE",T25)))</formula>
    </cfRule>
    <cfRule type="containsText" dxfId="737" priority="12" operator="containsText" text="NO VALIDADO">
      <formula>NOT(ISERROR(SEARCH("NO VALIDADO",T25)))</formula>
    </cfRule>
    <cfRule type="containsText" dxfId="736" priority="13" operator="containsText" text="VALIDADO">
      <formula>NOT(ISERROR(SEARCH("VALIDADO",T25)))</formula>
    </cfRule>
  </conditionalFormatting>
  <dataValidations count="6">
    <dataValidation type="list" allowBlank="1" showInputMessage="1" showErrorMessage="1" sqref="D10" xr:uid="{A0584337-3FBC-4318-AF74-AD3CF41ED9C1}">
      <formula1>"No Cumple, Parcial,Cumple,Más que Cumple,Mejor Práctica"</formula1>
    </dataValidation>
    <dataValidation type="list" allowBlank="1" showInputMessage="1" showErrorMessage="1" sqref="S10 Q10" xr:uid="{B6C0EFCE-465F-418C-B553-A4C597ADD4C2}">
      <formula1>"Junio,Julio,Agosto,Septiembre,Octubre"</formula1>
    </dataValidation>
    <dataValidation type="list" allowBlank="1" showInputMessage="1" showErrorMessage="1" sqref="O10" xr:uid="{41FB5277-5DC0-4F52-99C9-16EB93C9A248}">
      <formula1>"Alta,Baja,No Planificado"</formula1>
    </dataValidation>
    <dataValidation type="list" allowBlank="1" showInputMessage="1" showErrorMessage="1" sqref="AB14:AB15 R14:R15 N14:N15 V14:V15" xr:uid="{AD6363A4-8BA3-4D09-9979-69CC26C45209}">
      <formula1>"No Cumple, Parcial, Cumple, Más que Cumple, Mejor Práctica"</formula1>
    </dataValidation>
    <dataValidation type="list" allowBlank="1" showInputMessage="1" showErrorMessage="1" sqref="M12 Q12 U12" xr:uid="{FBD25950-E3BA-46AE-B664-6DE34D23E274}">
      <formula1>"Mayo,Junio,Julio,Agosto,Septiembre,Octubre"</formula1>
    </dataValidation>
    <dataValidation type="list" allowBlank="1" showInputMessage="1" showErrorMessage="1" sqref="K14:K15 O14:O15 S14:S15" xr:uid="{D08F9D8F-CE4B-406C-A6C0-9EF0F8EDAB74}">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AFC79F3-DFC9-41FD-A63E-E2FD9CF2BD8C}">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B9331-0521-46CB-AAE8-C28E5C82C406}">
  <sheetPr codeName="Planilha31"/>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528</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Melhor Prática</v>
      </c>
      <c r="E7" s="47">
        <f>IF($D7="Não cumpre",0,IF($D7="Parcial",$E$18*0.4,IF($D7="Cumpre",$E$18*0.7,IF($D7="Mais que cumpre",$E$18*0.85,IF($D7="Melhor Prática",$E$18,0)))))</f>
        <v>0.01</v>
      </c>
      <c r="F7" s="48">
        <f>IF($K$24&lt;&gt;"",IF($K$24=3,3,IF($K$24=2,2,1)),"")</f>
        <v>3</v>
      </c>
      <c r="G7" s="48">
        <f>IF($N$24&lt;&gt;"",IF($N$24=3,3,IF($N$24=2,2,1)),"")</f>
        <v>3</v>
      </c>
      <c r="H7" s="48">
        <f>IF($Q$24&lt;&gt;"",IF($Q$24=3,3,IF($Q$24=2,2,1)),"")</f>
        <v>3</v>
      </c>
      <c r="I7" s="48">
        <f>IF($T$24&lt;&gt;"",IF($T$24=3,3,IF($T$24=2,2,1)),"")</f>
        <v>3</v>
      </c>
      <c r="J7" s="32"/>
      <c r="K7" s="49" t="s">
        <v>224</v>
      </c>
      <c r="L7" s="46" t="s">
        <v>225</v>
      </c>
      <c r="M7" s="267" t="s">
        <v>529</v>
      </c>
      <c r="N7" s="267"/>
      <c r="O7" s="267"/>
      <c r="P7" s="46" t="s">
        <v>227</v>
      </c>
      <c r="Q7" s="267" t="s">
        <v>530</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0.01</v>
      </c>
      <c r="F10" s="52" t="str">
        <f>IF(K20="D","D","-")</f>
        <v>D</v>
      </c>
      <c r="G10" s="52" t="str">
        <f>IF(N20="D","D","-")</f>
        <v>D</v>
      </c>
      <c r="H10" s="52" t="str">
        <f>IF(Q20="D","D","-")</f>
        <v>D</v>
      </c>
      <c r="I10" s="52" t="str">
        <f>IF(T20="D","D","-")</f>
        <v>-</v>
      </c>
      <c r="J10" s="32"/>
      <c r="K10" s="66" t="s">
        <v>230</v>
      </c>
      <c r="L10" s="50" t="s">
        <v>231</v>
      </c>
      <c r="M10" s="75">
        <v>3</v>
      </c>
      <c r="N10" s="50" t="s">
        <v>232</v>
      </c>
      <c r="O10" s="53" t="s">
        <v>374</v>
      </c>
      <c r="P10" s="50" t="s">
        <v>233</v>
      </c>
      <c r="Q10" s="92" t="s">
        <v>286</v>
      </c>
      <c r="R10" s="50" t="s">
        <v>235</v>
      </c>
      <c r="S10" s="92" t="s">
        <v>303</v>
      </c>
      <c r="T10" s="50" t="s">
        <v>237</v>
      </c>
      <c r="U10" s="53" t="s">
        <v>531</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0.01</v>
      </c>
      <c r="F12" s="268">
        <f>IF($L$24&lt;&gt;"",IF($L$24=3,3,IF($L$24=2,2,1)),"")</f>
        <v>3</v>
      </c>
      <c r="G12" s="268">
        <f>IF($O$24&lt;&gt;"",IF($O$24=3,3,IF($O$24=2,2,1)),"")</f>
        <v>3</v>
      </c>
      <c r="H12" s="268">
        <f>IF($R$24&lt;&gt;"",IF($R$24=3,3,IF($R$24=2,2,1)),"")</f>
        <v>3</v>
      </c>
      <c r="I12" s="268">
        <f>IF($U$24&lt;&gt;"",IF($U$24=3,3,IF($U$24=2,2,1)),"")</f>
        <v>3</v>
      </c>
      <c r="J12" s="32"/>
      <c r="K12" s="300" t="s">
        <v>240</v>
      </c>
      <c r="L12" s="274"/>
      <c r="M12" s="280"/>
      <c r="N12" s="299"/>
      <c r="O12" s="300" t="s">
        <v>240</v>
      </c>
      <c r="P12" s="274"/>
      <c r="Q12" s="280"/>
      <c r="R12" s="299"/>
      <c r="S12" s="274" t="s">
        <v>240</v>
      </c>
      <c r="T12" s="274"/>
      <c r="U12" s="280"/>
      <c r="V12" s="280"/>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f>IF($D13="No Cumple",0,IF($D13="Parcial",$E$18*0.4,IF($D13="Cumple",$E$18*0.7,IF($D13="Más que Cumple",$E$18*0.85,IF($D13="Mejor Práctica",$E$18,0)))))</f>
        <v>0</v>
      </c>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f>IF($D14="No Cumple",0,IF($D14="Parcial",$E$18*0.4,IF($D14="Cumple",$E$18*0.7,IF($D14="Más que Cumple",$E$18*0.85,IF($D14="Mejor Práctica",$E$18,0)))))</f>
        <v>0</v>
      </c>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250</v>
      </c>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0.01</v>
      </c>
      <c r="F18" s="41"/>
      <c r="G18" s="41"/>
      <c r="H18" s="41"/>
      <c r="I18" s="41"/>
      <c r="J18" s="9"/>
      <c r="K18" s="266" t="s">
        <v>532</v>
      </c>
      <c r="L18" s="264"/>
      <c r="M18" s="265"/>
      <c r="N18" s="266" t="s">
        <v>533</v>
      </c>
      <c r="O18" s="264"/>
      <c r="P18" s="265"/>
      <c r="Q18" s="266" t="s">
        <v>534</v>
      </c>
      <c r="R18" s="264"/>
      <c r="S18" s="265"/>
      <c r="T18" s="264" t="s">
        <v>535</v>
      </c>
      <c r="U18" s="264"/>
      <c r="V18" s="265"/>
      <c r="W18" s="9"/>
      <c r="X18" s="9"/>
      <c r="Y18" s="23"/>
    </row>
    <row r="19" spans="1:25" ht="124.5" customHeight="1" outlineLevel="2" x14ac:dyDescent="0.3">
      <c r="A19" s="1"/>
      <c r="B19" s="283"/>
      <c r="C19" s="283"/>
      <c r="D19" s="42" t="s">
        <v>257</v>
      </c>
      <c r="E19" s="307" t="s">
        <v>536</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35</v>
      </c>
      <c r="F20" s="288"/>
      <c r="G20" s="288"/>
      <c r="H20" s="288"/>
      <c r="I20" s="288"/>
      <c r="J20" s="25"/>
      <c r="K20" s="266" t="s">
        <v>260</v>
      </c>
      <c r="L20" s="264"/>
      <c r="M20" s="265"/>
      <c r="N20" s="266" t="s">
        <v>260</v>
      </c>
      <c r="O20" s="264"/>
      <c r="P20" s="265"/>
      <c r="Q20" s="266" t="s">
        <v>260</v>
      </c>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537</v>
      </c>
      <c r="L21" s="264"/>
      <c r="M21" s="265"/>
      <c r="N21" s="266" t="s">
        <v>313</v>
      </c>
      <c r="O21" s="264"/>
      <c r="P21" s="265"/>
      <c r="Q21" s="266" t="s">
        <v>538</v>
      </c>
      <c r="R21" s="264"/>
      <c r="S21" s="265"/>
      <c r="T21" s="264" t="s">
        <v>348</v>
      </c>
      <c r="U21" s="264"/>
      <c r="V21" s="264"/>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309"/>
      <c r="Q24" s="56">
        <v>3</v>
      </c>
      <c r="R24" s="40">
        <v>3</v>
      </c>
      <c r="S24" s="289"/>
      <c r="T24" s="40">
        <v>3</v>
      </c>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94.75" customHeight="1" x14ac:dyDescent="0.3">
      <c r="A26" s="1"/>
      <c r="B26" s="9"/>
      <c r="C26" s="9"/>
      <c r="D26" s="9"/>
      <c r="F26" s="291"/>
      <c r="G26" s="292" t="s">
        <v>242</v>
      </c>
      <c r="H26" s="292"/>
      <c r="I26" s="292"/>
      <c r="K26" s="58" t="s">
        <v>539</v>
      </c>
      <c r="L26" s="45" t="s">
        <v>1138</v>
      </c>
      <c r="M26" s="289"/>
      <c r="N26" s="58" t="s">
        <v>540</v>
      </c>
      <c r="O26" s="45" t="s">
        <v>1139</v>
      </c>
      <c r="P26" s="289"/>
      <c r="Q26" s="58" t="s">
        <v>541</v>
      </c>
      <c r="R26" s="45" t="s">
        <v>1140</v>
      </c>
      <c r="S26" s="289"/>
      <c r="T26" s="45" t="s">
        <v>542</v>
      </c>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66.7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735" priority="2" operator="containsText" text="Finalizado">
      <formula>NOT(ISERROR(SEARCH("Finalizado",D15)))</formula>
    </cfRule>
    <cfRule type="containsText" dxfId="734" priority="3" operator="containsText" text="No Planificado">
      <formula>NOT(ISERROR(SEARCH("No Planificado",D15)))</formula>
    </cfRule>
    <cfRule type="containsText" dxfId="733" priority="4" operator="containsText" text="A Tiempo">
      <formula>NOT(ISERROR(SEARCH("A Tiempo",D15)))</formula>
    </cfRule>
    <cfRule type="containsText" dxfId="732"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731" priority="20" operator="containsText" text="PENDIENTE">
      <formula>NOT(ISERROR(SEARCH("PENDIENTE",K25)))</formula>
    </cfRule>
    <cfRule type="containsText" dxfId="730" priority="21" operator="containsText" text="NO VALIDADO">
      <formula>NOT(ISERROR(SEARCH("NO VALIDADO",K25)))</formula>
    </cfRule>
    <cfRule type="containsText" dxfId="729" priority="22" operator="containsText" text="VALIDADO">
      <formula>NOT(ISERROR(SEARCH("VALIDADO",K25)))</formula>
    </cfRule>
  </conditionalFormatting>
  <conditionalFormatting sqref="N25:O25">
    <cfRule type="containsText" dxfId="728" priority="17" operator="containsText" text="PENDIENTE">
      <formula>NOT(ISERROR(SEARCH("PENDIENTE",N25)))</formula>
    </cfRule>
    <cfRule type="containsText" dxfId="727" priority="18" operator="containsText" text="NO VALIDADO">
      <formula>NOT(ISERROR(SEARCH("NO VALIDADO",N25)))</formula>
    </cfRule>
    <cfRule type="containsText" dxfId="726" priority="19" operator="containsText" text="VALIDADO">
      <formula>NOT(ISERROR(SEARCH("VALIDADO",N25)))</formula>
    </cfRule>
  </conditionalFormatting>
  <conditionalFormatting sqref="Q25:R25">
    <cfRule type="containsText" dxfId="725" priority="14" operator="containsText" text="PENDIENTE">
      <formula>NOT(ISERROR(SEARCH("PENDIENTE",Q25)))</formula>
    </cfRule>
    <cfRule type="containsText" dxfId="724" priority="15" operator="containsText" text="NO VALIDADO">
      <formula>NOT(ISERROR(SEARCH("NO VALIDADO",Q25)))</formula>
    </cfRule>
    <cfRule type="containsText" dxfId="723" priority="16" operator="containsText" text="VALIDADO">
      <formula>NOT(ISERROR(SEARCH("VALIDADO",Q25)))</formula>
    </cfRule>
  </conditionalFormatting>
  <conditionalFormatting sqref="T25:U25">
    <cfRule type="containsText" dxfId="722" priority="11" operator="containsText" text="PENDIENTE">
      <formula>NOT(ISERROR(SEARCH("PENDIENTE",T25)))</formula>
    </cfRule>
    <cfRule type="containsText" dxfId="721" priority="12" operator="containsText" text="NO VALIDADO">
      <formula>NOT(ISERROR(SEARCH("NO VALIDADO",T25)))</formula>
    </cfRule>
    <cfRule type="containsText" dxfId="720" priority="13" operator="containsText" text="VALIDADO">
      <formula>NOT(ISERROR(SEARCH("VALIDADO",T25)))</formula>
    </cfRule>
  </conditionalFormatting>
  <dataValidations count="6">
    <dataValidation type="list" allowBlank="1" showInputMessage="1" showErrorMessage="1" sqref="K14:K15 O14:O15 S14:S15" xr:uid="{AAC0FF8E-14F9-4548-98DC-B7656293CE75}">
      <formula1>"No Iniciado, En Progreso,Finalizado"</formula1>
    </dataValidation>
    <dataValidation type="list" allowBlank="1" showInputMessage="1" showErrorMessage="1" sqref="M12 Q12 U12" xr:uid="{61F58FE3-49F5-4FB0-86EC-D21E3D06080E}">
      <formula1>"Mayo,Junio,Julio,Agosto,Septiembre,Octubre"</formula1>
    </dataValidation>
    <dataValidation type="list" allowBlank="1" showInputMessage="1" showErrorMessage="1" sqref="AB14:AB15 R14:R15 N14:N15 V14:V15" xr:uid="{3943C292-C760-418F-A0D3-14F8B54C5E01}">
      <formula1>"No Cumple, Parcial, Cumple, Más que Cumple, Mejor Práctica"</formula1>
    </dataValidation>
    <dataValidation type="list" allowBlank="1" showInputMessage="1" showErrorMessage="1" sqref="O10" xr:uid="{B8B9CE90-5E83-4BF5-A51D-E2103A40E2EA}">
      <formula1>"Alta,Baja,No Planificado"</formula1>
    </dataValidation>
    <dataValidation type="list" allowBlank="1" showInputMessage="1" showErrorMessage="1" sqref="S10 Q10" xr:uid="{6F49409E-2F5B-424C-A2A8-8A8C7BCFBA23}">
      <formula1>"Junio,Julio,Agosto,Septiembre,Octubre"</formula1>
    </dataValidation>
    <dataValidation type="list" allowBlank="1" showInputMessage="1" showErrorMessage="1" sqref="D10" xr:uid="{7A112679-1756-4589-A33C-579DE785BC2A}">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AEAD0E67-616E-4F4F-AD6E-D26EAF008617}">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48762-5429-40B6-93A1-9A45563687E7}">
  <sheetPr codeName="Planilha32"/>
  <dimension ref="A1:AB51"/>
  <sheetViews>
    <sheetView showGridLines="0" zoomScale="50" zoomScaleNormal="50" workbookViewId="0">
      <pane xSplit="3" ySplit="4" topLeftCell="E11"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543</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2</v>
      </c>
      <c r="G7" s="48">
        <f>IF($N$24&lt;&gt;"",IF($N$24=3,3,IF($N$24=2,2,1)),"")</f>
        <v>2</v>
      </c>
      <c r="H7" s="48">
        <f>IF($Q$24&lt;&gt;"",IF($Q$24=3,3,IF($Q$24=2,2,1)),"")</f>
        <v>1</v>
      </c>
      <c r="I7" s="48">
        <f>IF($T$24&lt;&gt;"",IF($T$24=3,3,IF($T$24=2,2,1)),"")</f>
        <v>1</v>
      </c>
      <c r="J7" s="32"/>
      <c r="K7" s="49" t="s">
        <v>224</v>
      </c>
      <c r="L7" s="46" t="s">
        <v>225</v>
      </c>
      <c r="M7" s="267" t="s">
        <v>544</v>
      </c>
      <c r="N7" s="267"/>
      <c r="O7" s="267"/>
      <c r="P7" s="46" t="s">
        <v>227</v>
      </c>
      <c r="Q7" s="267" t="s">
        <v>545</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8.5000000000000006E-3</v>
      </c>
      <c r="F10" s="52" t="str">
        <f>IF(K20="D","D","-")</f>
        <v>-</v>
      </c>
      <c r="G10" s="52" t="str">
        <f>IF(N20="D","D","-")</f>
        <v>-</v>
      </c>
      <c r="H10" s="52" t="str">
        <f>IF(Q20="D","D","-")</f>
        <v>-</v>
      </c>
      <c r="I10" s="52" t="str">
        <f>IF(T20="D","D","-")</f>
        <v>-</v>
      </c>
      <c r="J10" s="32"/>
      <c r="K10" s="66" t="s">
        <v>230</v>
      </c>
      <c r="L10" s="50" t="s">
        <v>231</v>
      </c>
      <c r="M10" s="75">
        <v>2</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8.5000000000000006E-3</v>
      </c>
      <c r="F12" s="268">
        <f>IF($L$24&lt;&gt;"",IF($L$24=3,3,IF($L$24=2,2,1)),"")</f>
        <v>3</v>
      </c>
      <c r="G12" s="268">
        <f>IF($O$24&lt;&gt;"",IF($O$24=3,3,IF($O$24=2,2,1)),"")</f>
        <v>3</v>
      </c>
      <c r="H12" s="268">
        <f>IF($R$24&lt;&gt;"",IF($R$24=3,3,IF($R$24=2,2,1)),"")</f>
        <v>3</v>
      </c>
      <c r="I12" s="268">
        <f>IF($U$24&lt;&gt;"",IF($U$24=3,3,IF($U$24=2,2,1)),"")</f>
        <v>1</v>
      </c>
      <c r="J12" s="32"/>
      <c r="K12" s="300" t="s">
        <v>240</v>
      </c>
      <c r="L12" s="274"/>
      <c r="M12" s="280" t="s">
        <v>321</v>
      </c>
      <c r="N12" s="299"/>
      <c r="O12" s="300" t="s">
        <v>240</v>
      </c>
      <c r="P12" s="274"/>
      <c r="Q12" s="280"/>
      <c r="R12" s="299"/>
      <c r="S12" s="274" t="s">
        <v>240</v>
      </c>
      <c r="T12" s="274"/>
      <c r="U12" s="280"/>
      <c r="V12" s="280"/>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f>IF($D13="No Cumple",0,IF($D13="Parcial",$E$18*0.4,IF($D13="Cumple",$E$18*0.7,IF($D13="Más que Cumple",$E$18*0.85,IF($D13="Mejor Práctica",$E$18,0)))))</f>
        <v>0</v>
      </c>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f>IF($D14="No Cumple",0,IF($D14="Parcial",$E$18*0.4,IF($D14="Cumple",$E$18*0.7,IF($D14="Más que Cumple",$E$18*0.85,IF($D14="Mejor Práctica",$E$18,0)))))</f>
        <v>0</v>
      </c>
      <c r="F14" s="38"/>
      <c r="G14" s="38"/>
      <c r="H14" s="38"/>
      <c r="I14" s="38"/>
      <c r="J14" s="32"/>
      <c r="K14" s="266" t="s">
        <v>249</v>
      </c>
      <c r="L14" s="286"/>
      <c r="M14" s="286"/>
      <c r="N14" s="265" t="s">
        <v>422</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Finalizado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0.01</v>
      </c>
      <c r="F18" s="41"/>
      <c r="G18" s="41"/>
      <c r="H18" s="41"/>
      <c r="I18" s="41"/>
      <c r="J18" s="9"/>
      <c r="K18" s="266" t="s">
        <v>546</v>
      </c>
      <c r="L18" s="264"/>
      <c r="M18" s="265"/>
      <c r="N18" s="266" t="s">
        <v>547</v>
      </c>
      <c r="O18" s="264"/>
      <c r="P18" s="265"/>
      <c r="Q18" s="266" t="s">
        <v>548</v>
      </c>
      <c r="R18" s="264"/>
      <c r="S18" s="265"/>
      <c r="T18" s="264" t="s">
        <v>549</v>
      </c>
      <c r="U18" s="264"/>
      <c r="V18" s="265"/>
      <c r="W18" s="9"/>
      <c r="X18" s="9"/>
      <c r="Y18" s="23"/>
    </row>
    <row r="19" spans="1:25" ht="124.5" customHeight="1" outlineLevel="2" x14ac:dyDescent="0.3">
      <c r="A19" s="1"/>
      <c r="B19" s="283"/>
      <c r="C19" s="283"/>
      <c r="D19" s="42" t="s">
        <v>257</v>
      </c>
      <c r="E19" s="307" t="s">
        <v>550</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99</v>
      </c>
      <c r="F20" s="288"/>
      <c r="G20" s="288"/>
      <c r="H20" s="288"/>
      <c r="I20" s="288"/>
      <c r="J20" s="25"/>
      <c r="K20" s="266"/>
      <c r="L20" s="264"/>
      <c r="M20" s="265"/>
      <c r="N20" s="266"/>
      <c r="O20" s="264"/>
      <c r="P20" s="265"/>
      <c r="Q20" s="266"/>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551</v>
      </c>
      <c r="L21" s="264"/>
      <c r="M21" s="265"/>
      <c r="N21" s="266" t="s">
        <v>551</v>
      </c>
      <c r="O21" s="264"/>
      <c r="P21" s="265"/>
      <c r="Q21" s="266" t="s">
        <v>455</v>
      </c>
      <c r="R21" s="264"/>
      <c r="S21" s="265"/>
      <c r="T21" s="264" t="s">
        <v>383</v>
      </c>
      <c r="U21" s="264"/>
      <c r="V21" s="264"/>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2</v>
      </c>
      <c r="L24" s="40">
        <v>3</v>
      </c>
      <c r="M24" s="289"/>
      <c r="N24" s="56">
        <v>2</v>
      </c>
      <c r="O24" s="40">
        <v>3</v>
      </c>
      <c r="P24" s="289"/>
      <c r="Q24" s="56">
        <v>1</v>
      </c>
      <c r="R24" s="40">
        <v>3</v>
      </c>
      <c r="S24" s="289"/>
      <c r="T24" s="40">
        <v>1</v>
      </c>
      <c r="U24" s="40">
        <v>1</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45" t="s">
        <v>552</v>
      </c>
      <c r="L26" s="45" t="s">
        <v>1141</v>
      </c>
      <c r="M26" s="289"/>
      <c r="N26" s="45" t="s">
        <v>553</v>
      </c>
      <c r="O26" s="45" t="s">
        <v>1141</v>
      </c>
      <c r="P26" s="289"/>
      <c r="Q26" s="58" t="s">
        <v>554</v>
      </c>
      <c r="R26" s="45" t="s">
        <v>1142</v>
      </c>
      <c r="S26" s="289"/>
      <c r="T26" s="45"/>
      <c r="U26" s="45" t="s">
        <v>1143</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10.2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719" priority="5" operator="containsText" text="Finalizado">
      <formula>NOT(ISERROR(SEARCH("Finalizado",D15)))</formula>
    </cfRule>
    <cfRule type="containsText" dxfId="718" priority="6" operator="containsText" text="No Planificado">
      <formula>NOT(ISERROR(SEARCH("No Planificado",D15)))</formula>
    </cfRule>
    <cfRule type="containsText" dxfId="717" priority="7" operator="containsText" text="A Tiempo">
      <formula>NOT(ISERROR(SEARCH("A Tiempo",D15)))</formula>
    </cfRule>
    <cfRule type="containsText" dxfId="716" priority="8" operator="containsText" text="Retrasado">
      <formula>NOT(ISERROR(SEARCH("Retrasado",D15)))</formula>
    </cfRule>
  </conditionalFormatting>
  <conditionalFormatting sqref="F7:F8">
    <cfRule type="iconSet" priority="12">
      <iconSet showValue="0">
        <cfvo type="percent" val="0"/>
        <cfvo type="num" val="2"/>
        <cfvo type="num" val="3"/>
      </iconSet>
    </cfRule>
  </conditionalFormatting>
  <conditionalFormatting sqref="F12 F14">
    <cfRule type="iconSet" priority="10">
      <iconSet showValue="0">
        <cfvo type="percent" val="0"/>
        <cfvo type="num" val="2"/>
        <cfvo type="num" val="3"/>
      </iconSet>
    </cfRule>
  </conditionalFormatting>
  <conditionalFormatting sqref="G7:I8">
    <cfRule type="iconSet" priority="11">
      <iconSet showValue="0">
        <cfvo type="percent" val="0"/>
        <cfvo type="num" val="2"/>
        <cfvo type="num" val="3"/>
      </iconSet>
    </cfRule>
  </conditionalFormatting>
  <conditionalFormatting sqref="G12:I12 G14:I14">
    <cfRule type="iconSet" priority="9">
      <iconSet showValue="0">
        <cfvo type="percent" val="0"/>
        <cfvo type="num" val="2"/>
        <cfvo type="num" val="3"/>
      </iconSet>
    </cfRule>
  </conditionalFormatting>
  <conditionalFormatting sqref="K24:L24 N24:O24 Q24:R24 T24:U24">
    <cfRule type="iconSet" priority="13">
      <iconSet showValue="0">
        <cfvo type="percent" val="0"/>
        <cfvo type="num" val="2"/>
        <cfvo type="num" val="3"/>
      </iconSet>
    </cfRule>
  </conditionalFormatting>
  <conditionalFormatting sqref="K25:L25">
    <cfRule type="containsText" dxfId="715" priority="1" operator="containsText" text="PENDIENTE">
      <formula>NOT(ISERROR(SEARCH("PENDIENTE",K25)))</formula>
    </cfRule>
    <cfRule type="containsText" dxfId="714" priority="2" operator="containsText" text="NO VALIDADO">
      <formula>NOT(ISERROR(SEARCH("NO VALIDADO",K25)))</formula>
    </cfRule>
    <cfRule type="containsText" dxfId="713" priority="3" operator="containsText" text="VALIDADO">
      <formula>NOT(ISERROR(SEARCH("VALIDADO",K25)))</formula>
    </cfRule>
  </conditionalFormatting>
  <conditionalFormatting sqref="N25:O25">
    <cfRule type="containsText" dxfId="712" priority="20" operator="containsText" text="PENDIENTE">
      <formula>NOT(ISERROR(SEARCH("PENDIENTE",N25)))</formula>
    </cfRule>
    <cfRule type="containsText" dxfId="711" priority="21" operator="containsText" text="NO VALIDADO">
      <formula>NOT(ISERROR(SEARCH("NO VALIDADO",N25)))</formula>
    </cfRule>
    <cfRule type="containsText" dxfId="710" priority="22" operator="containsText" text="VALIDADO">
      <formula>NOT(ISERROR(SEARCH("VALIDADO",N25)))</formula>
    </cfRule>
  </conditionalFormatting>
  <conditionalFormatting sqref="Q25:R25">
    <cfRule type="containsText" dxfId="709" priority="17" operator="containsText" text="PENDIENTE">
      <formula>NOT(ISERROR(SEARCH("PENDIENTE",Q25)))</formula>
    </cfRule>
    <cfRule type="containsText" dxfId="708" priority="18" operator="containsText" text="NO VALIDADO">
      <formula>NOT(ISERROR(SEARCH("NO VALIDADO",Q25)))</formula>
    </cfRule>
    <cfRule type="containsText" dxfId="707" priority="19" operator="containsText" text="VALIDADO">
      <formula>NOT(ISERROR(SEARCH("VALIDADO",Q25)))</formula>
    </cfRule>
  </conditionalFormatting>
  <conditionalFormatting sqref="T25:U25">
    <cfRule type="containsText" dxfId="706" priority="14" operator="containsText" text="PENDIENTE">
      <formula>NOT(ISERROR(SEARCH("PENDIENTE",T25)))</formula>
    </cfRule>
    <cfRule type="containsText" dxfId="705" priority="15" operator="containsText" text="NO VALIDADO">
      <formula>NOT(ISERROR(SEARCH("NO VALIDADO",T25)))</formula>
    </cfRule>
    <cfRule type="containsText" dxfId="704" priority="16" operator="containsText" text="VALIDADO">
      <formula>NOT(ISERROR(SEARCH("VALIDADO",T25)))</formula>
    </cfRule>
  </conditionalFormatting>
  <dataValidations count="6">
    <dataValidation type="list" allowBlank="1" showInputMessage="1" showErrorMessage="1" sqref="D10" xr:uid="{5E286E3A-643F-4C0D-9821-2492CD4DFF9C}">
      <formula1>"No Cumple, Parcial,Cumple,Más que Cumple,Mejor Práctica"</formula1>
    </dataValidation>
    <dataValidation type="list" allowBlank="1" showInputMessage="1" showErrorMessage="1" sqref="S10 Q10" xr:uid="{335F2FCB-9A9E-4B55-ABA0-1EFEADB92D30}">
      <formula1>"Junio,Julio,Agosto,Septiembre,Octubre"</formula1>
    </dataValidation>
    <dataValidation type="list" allowBlank="1" showInputMessage="1" showErrorMessage="1" sqref="O10" xr:uid="{59F2D5D2-B07B-4C2F-8672-E33EDC5A7D7E}">
      <formula1>"Alta,Baja,No Planificado"</formula1>
    </dataValidation>
    <dataValidation type="list" allowBlank="1" showInputMessage="1" showErrorMessage="1" sqref="AB14:AB15 R14:R15 N14:N15 V14:V15" xr:uid="{B00EED2B-7071-4C38-814D-F7CA20487D38}">
      <formula1>"No Cumple, Parcial, Cumple, Más que Cumple, Mejor Práctica"</formula1>
    </dataValidation>
    <dataValidation type="list" allowBlank="1" showInputMessage="1" showErrorMessage="1" sqref="M12 Q12 U12" xr:uid="{BFDA71F2-EC26-4FEA-8A87-E2BDCCA0DF48}">
      <formula1>"Mayo,Junio,Julio,Agosto,Septiembre,Octubre"</formula1>
    </dataValidation>
    <dataValidation type="list" allowBlank="1" showInputMessage="1" showErrorMessage="1" sqref="K14:K15 O14:O15 S14:S15" xr:uid="{54B3DF55-91CD-4EB9-B327-983646FC02C2}">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5E6FA731-D893-4167-A4B6-4573905CFF4F}">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44A20-A0D9-4A64-87D3-749C7134B22C}">
  <sheetPr codeName="Planilha33"/>
  <dimension ref="A1:AB51"/>
  <sheetViews>
    <sheetView showGridLines="0" zoomScale="50" zoomScaleNormal="50" workbookViewId="0">
      <pane xSplit="3" ySplit="4" topLeftCell="E17"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555</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Cumpre</v>
      </c>
      <c r="E7" s="47">
        <f>IF($D7="Não cumpre",0,IF($D7="Parcial",$E$18*0.4,IF($D7="Cumpre",$E$18*0.7,IF($D7="Mais que cumpre",$E$18*0.85,IF($D7="Melhor Prática",$E$18,0)))))</f>
        <v>3.4999999999999996E-3</v>
      </c>
      <c r="F7" s="48">
        <f>IF($K$24&lt;&gt;"",IF($K$24=3,3,IF($K$24=2,2,1)),"")</f>
        <v>3</v>
      </c>
      <c r="G7" s="48">
        <f>IF($N$24&lt;&gt;"",IF($N$24=3,3,IF($N$24=2,2,1)),"")</f>
        <v>3</v>
      </c>
      <c r="H7" s="48" t="str">
        <f>IF($Q$24&lt;&gt;"",IF($Q$24=3,3,IF($Q$24=2,2,1)),"")</f>
        <v/>
      </c>
      <c r="I7" s="48" t="str">
        <f>IF($T$24&lt;&gt;"",IF($T$24=3,3,IF($T$24=2,2,1)),"")</f>
        <v/>
      </c>
      <c r="J7" s="32"/>
      <c r="K7" s="49" t="s">
        <v>224</v>
      </c>
      <c r="L7" s="46" t="s">
        <v>225</v>
      </c>
      <c r="M7" s="267" t="s">
        <v>556</v>
      </c>
      <c r="N7" s="267"/>
      <c r="O7" s="267"/>
      <c r="P7" s="46" t="s">
        <v>227</v>
      </c>
      <c r="Q7" s="267" t="s">
        <v>557</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4.2500000000000003E-3</v>
      </c>
      <c r="F10" s="52" t="str">
        <f>IF(K20="D","D","-")</f>
        <v>-</v>
      </c>
      <c r="G10" s="52" t="str">
        <f>IF(N20="D","D","-")</f>
        <v>-</v>
      </c>
      <c r="H10" s="52" t="str">
        <f>IF(Q20="D","D","-")</f>
        <v>-</v>
      </c>
      <c r="I10" s="52" t="str">
        <f>IF(T20="D","D","-")</f>
        <v>-</v>
      </c>
      <c r="J10" s="32"/>
      <c r="K10" s="66" t="s">
        <v>230</v>
      </c>
      <c r="L10" s="50" t="s">
        <v>231</v>
      </c>
      <c r="M10" s="75">
        <v>3</v>
      </c>
      <c r="N10" s="50" t="s">
        <v>232</v>
      </c>
      <c r="O10" s="53" t="s">
        <v>374</v>
      </c>
      <c r="P10" s="50" t="s">
        <v>233</v>
      </c>
      <c r="Q10" s="92" t="s">
        <v>286</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5.0000000000000001E-3</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t="s">
        <v>303</v>
      </c>
      <c r="R12" s="299"/>
      <c r="S12" s="274" t="s">
        <v>240</v>
      </c>
      <c r="T12" s="274"/>
      <c r="U12" s="280"/>
      <c r="V12" s="280"/>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f>IF($D13="No Cumple",0,IF($D13="Parcial",$E$18*0.4,IF($D13="Cumple",$E$18*0.7,IF($D13="Más que Cumple",$E$18*0.85,IF($D13="Mejor Práctica",$E$18,0)))))</f>
        <v>0</v>
      </c>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f>IF($D14="No Cumple",0,IF($D14="Parcial",$E$18*0.4,IF($D14="Cumple",$E$18*0.7,IF($D14="Más que Cumple",$E$18*0.85,IF($D14="Mejor Práctica",$E$18,0)))))</f>
        <v>0</v>
      </c>
      <c r="F14" s="38"/>
      <c r="G14" s="38"/>
      <c r="H14" s="38"/>
      <c r="I14" s="38"/>
      <c r="J14" s="32"/>
      <c r="K14" s="266" t="s">
        <v>249</v>
      </c>
      <c r="L14" s="286"/>
      <c r="M14" s="286"/>
      <c r="N14" s="265" t="s">
        <v>422</v>
      </c>
      <c r="O14" s="266" t="s">
        <v>249</v>
      </c>
      <c r="P14" s="286"/>
      <c r="Q14" s="286"/>
      <c r="R14" s="265" t="s">
        <v>275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Finalizado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c r="I16" s="9" t="s">
        <v>250</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5.0000000000000001E-3</v>
      </c>
      <c r="F18" s="41"/>
      <c r="G18" s="41"/>
      <c r="H18" s="41"/>
      <c r="I18" s="41"/>
      <c r="J18" s="9"/>
      <c r="K18" s="266" t="s">
        <v>558</v>
      </c>
      <c r="L18" s="264"/>
      <c r="M18" s="265"/>
      <c r="N18" s="266" t="s">
        <v>559</v>
      </c>
      <c r="O18" s="264"/>
      <c r="P18" s="265"/>
      <c r="Q18" s="266" t="s">
        <v>560</v>
      </c>
      <c r="R18" s="264"/>
      <c r="S18" s="265"/>
      <c r="T18" s="264" t="s">
        <v>561</v>
      </c>
      <c r="U18" s="264"/>
      <c r="V18" s="265"/>
      <c r="W18" s="9"/>
      <c r="X18" s="9"/>
      <c r="Y18" s="23"/>
    </row>
    <row r="19" spans="1:25" ht="124.5" customHeight="1" outlineLevel="2" x14ac:dyDescent="0.3">
      <c r="A19" s="1"/>
      <c r="B19" s="283"/>
      <c r="C19" s="283"/>
      <c r="D19" s="42" t="s">
        <v>257</v>
      </c>
      <c r="E19" s="307" t="s">
        <v>562</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99</v>
      </c>
      <c r="F20" s="288"/>
      <c r="G20" s="288"/>
      <c r="H20" s="288"/>
      <c r="I20" s="288"/>
      <c r="J20" s="25"/>
      <c r="K20" s="266"/>
      <c r="L20" s="264"/>
      <c r="M20" s="265"/>
      <c r="N20" s="266"/>
      <c r="O20" s="264"/>
      <c r="P20" s="265"/>
      <c r="Q20" s="266"/>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563</v>
      </c>
      <c r="L21" s="264"/>
      <c r="M21" s="265"/>
      <c r="N21" s="266" t="s">
        <v>564</v>
      </c>
      <c r="O21" s="264"/>
      <c r="P21" s="265"/>
      <c r="Q21" s="266" t="s">
        <v>455</v>
      </c>
      <c r="R21" s="264"/>
      <c r="S21" s="265"/>
      <c r="T21" s="264" t="s">
        <v>383</v>
      </c>
      <c r="U21" s="264"/>
      <c r="V21" s="264"/>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c r="R24" s="40">
        <v>3</v>
      </c>
      <c r="S24" s="289"/>
      <c r="T24" s="40"/>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c r="L26" s="45" t="s">
        <v>1144</v>
      </c>
      <c r="M26" s="289"/>
      <c r="N26" s="58" t="s">
        <v>565</v>
      </c>
      <c r="O26" s="45" t="s">
        <v>1133</v>
      </c>
      <c r="P26" s="289"/>
      <c r="Q26" s="58"/>
      <c r="R26" s="45" t="s">
        <v>1145</v>
      </c>
      <c r="S26" s="289"/>
      <c r="T26" s="45"/>
      <c r="U26" s="45" t="s">
        <v>566</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703" priority="2" operator="containsText" text="Finalizado">
      <formula>NOT(ISERROR(SEARCH("Finalizado",D15)))</formula>
    </cfRule>
    <cfRule type="containsText" dxfId="702" priority="3" operator="containsText" text="No Planificado">
      <formula>NOT(ISERROR(SEARCH("No Planificado",D15)))</formula>
    </cfRule>
    <cfRule type="containsText" dxfId="701" priority="4" operator="containsText" text="A Tiempo">
      <formula>NOT(ISERROR(SEARCH("A Tiempo",D15)))</formula>
    </cfRule>
    <cfRule type="containsText" dxfId="700"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699" priority="20" operator="containsText" text="PENDIENTE">
      <formula>NOT(ISERROR(SEARCH("PENDIENTE",K25)))</formula>
    </cfRule>
    <cfRule type="containsText" dxfId="698" priority="21" operator="containsText" text="NO VALIDADO">
      <formula>NOT(ISERROR(SEARCH("NO VALIDADO",K25)))</formula>
    </cfRule>
    <cfRule type="containsText" dxfId="697" priority="22" operator="containsText" text="VALIDADO">
      <formula>NOT(ISERROR(SEARCH("VALIDADO",K25)))</formula>
    </cfRule>
  </conditionalFormatting>
  <conditionalFormatting sqref="N25:O25">
    <cfRule type="containsText" dxfId="696" priority="17" operator="containsText" text="PENDIENTE">
      <formula>NOT(ISERROR(SEARCH("PENDIENTE",N25)))</formula>
    </cfRule>
    <cfRule type="containsText" dxfId="695" priority="18" operator="containsText" text="NO VALIDADO">
      <formula>NOT(ISERROR(SEARCH("NO VALIDADO",N25)))</formula>
    </cfRule>
    <cfRule type="containsText" dxfId="694" priority="19" operator="containsText" text="VALIDADO">
      <formula>NOT(ISERROR(SEARCH("VALIDADO",N25)))</formula>
    </cfRule>
  </conditionalFormatting>
  <conditionalFormatting sqref="Q25:R25">
    <cfRule type="containsText" dxfId="693" priority="14" operator="containsText" text="PENDIENTE">
      <formula>NOT(ISERROR(SEARCH("PENDIENTE",Q25)))</formula>
    </cfRule>
    <cfRule type="containsText" dxfId="692" priority="15" operator="containsText" text="NO VALIDADO">
      <formula>NOT(ISERROR(SEARCH("NO VALIDADO",Q25)))</formula>
    </cfRule>
    <cfRule type="containsText" dxfId="691" priority="16" operator="containsText" text="VALIDADO">
      <formula>NOT(ISERROR(SEARCH("VALIDADO",Q25)))</formula>
    </cfRule>
  </conditionalFormatting>
  <conditionalFormatting sqref="T25:U25">
    <cfRule type="containsText" dxfId="690" priority="11" operator="containsText" text="PENDIENTE">
      <formula>NOT(ISERROR(SEARCH("PENDIENTE",T25)))</formula>
    </cfRule>
    <cfRule type="containsText" dxfId="689" priority="12" operator="containsText" text="NO VALIDADO">
      <formula>NOT(ISERROR(SEARCH("NO VALIDADO",T25)))</formula>
    </cfRule>
    <cfRule type="containsText" dxfId="688" priority="13" operator="containsText" text="VALIDADO">
      <formula>NOT(ISERROR(SEARCH("VALIDADO",T25)))</formula>
    </cfRule>
  </conditionalFormatting>
  <dataValidations count="6">
    <dataValidation type="list" allowBlank="1" showInputMessage="1" showErrorMessage="1" sqref="K14:K15 O14:O15 S14:S15" xr:uid="{9FA85313-FC64-4535-9C39-E4406E010C22}">
      <formula1>"No Iniciado, En Progreso,Finalizado"</formula1>
    </dataValidation>
    <dataValidation type="list" allowBlank="1" showInputMessage="1" showErrorMessage="1" sqref="M12 Q12 U12" xr:uid="{B8AFAA85-0B04-4B60-8247-2F40134B7B84}">
      <formula1>"Mayo,Junio,Julio,Agosto,Septiembre,Octubre"</formula1>
    </dataValidation>
    <dataValidation type="list" allowBlank="1" showInputMessage="1" showErrorMessage="1" sqref="AB14:AB15 R14:R15 N14:N15 V14:V15" xr:uid="{D637B06E-3757-4C6B-BDE6-41FC813064B1}">
      <formula1>"No Cumple, Parcial, Cumple, Más que Cumple, Mejor Práctica"</formula1>
    </dataValidation>
    <dataValidation type="list" allowBlank="1" showInputMessage="1" showErrorMessage="1" sqref="O10" xr:uid="{D2F11317-1AFB-454C-8927-97E4882FC139}">
      <formula1>"Alta,Baja,No Planificado"</formula1>
    </dataValidation>
    <dataValidation type="list" allowBlank="1" showInputMessage="1" showErrorMessage="1" sqref="S10 Q10" xr:uid="{EFE3F419-1A25-491B-9A55-D0486E9896D4}">
      <formula1>"Junio,Julio,Agosto,Septiembre,Octubre"</formula1>
    </dataValidation>
    <dataValidation type="list" allowBlank="1" showInputMessage="1" showErrorMessage="1" sqref="D10" xr:uid="{CAC15737-A00D-4939-83EC-C4D1D9DDE1A0}">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47DB166-FEB1-40BB-AD6F-5D171FBF849B}">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750D0-9931-4A20-B941-CE0EF396F763}">
  <sheetPr codeName="Planilha34"/>
  <dimension ref="A1:AB51"/>
  <sheetViews>
    <sheetView showGridLines="0" zoomScale="50" zoomScaleNormal="50" workbookViewId="0">
      <pane xSplit="3" ySplit="4" topLeftCell="D20"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567</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Mais que cumpre</v>
      </c>
      <c r="E7" s="47">
        <f>IF($D7="Não cumpre",0,IF($D7="Parcial",$E$18*0.4,IF($D7="Cumpre",$E$18*0.7,IF($D7="Mais que cumpre",$E$18*0.85,IF($D7="Melhor Prática",$E$18,0)))))</f>
        <v>1.2749999999999999E-2</v>
      </c>
      <c r="F7" s="48">
        <f>IF($K$24&lt;&gt;"",IF($K$24=3,3,IF($K$24=2,2,1)),"")</f>
        <v>3</v>
      </c>
      <c r="G7" s="48">
        <f>IF($N$24&lt;&gt;"",IF($N$24=3,3,IF($N$24=2,2,1)),"")</f>
        <v>3</v>
      </c>
      <c r="H7" s="48">
        <f>IF($Q$24&lt;&gt;"",IF($Q$24=3,3,IF($Q$24=2,2,1)),"")</f>
        <v>3</v>
      </c>
      <c r="I7" s="48" t="str">
        <f>IF($T$24&lt;&gt;"",IF($T$24=3,3,IF($T$24=2,2,1)),"")</f>
        <v/>
      </c>
      <c r="J7" s="32"/>
      <c r="K7" s="49" t="s">
        <v>224</v>
      </c>
      <c r="L7" s="46" t="s">
        <v>225</v>
      </c>
      <c r="M7" s="267" t="s">
        <v>568</v>
      </c>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1.2749999999999999E-2</v>
      </c>
      <c r="F10" s="52" t="str">
        <f>IF(K20="D","D","-")</f>
        <v>-</v>
      </c>
      <c r="G10" s="52" t="str">
        <f>IF(N20="D","D","-")</f>
        <v>-</v>
      </c>
      <c r="H10" s="52" t="str">
        <f>IF(Q20="D","D","-")</f>
        <v>D</v>
      </c>
      <c r="I10" s="52" t="str">
        <f>IF(T20="D","D","-")</f>
        <v>D</v>
      </c>
      <c r="J10" s="32"/>
      <c r="K10" s="66" t="s">
        <v>230</v>
      </c>
      <c r="L10" s="50" t="s">
        <v>231</v>
      </c>
      <c r="M10" s="75">
        <v>1</v>
      </c>
      <c r="N10" s="50" t="s">
        <v>232</v>
      </c>
      <c r="O10" s="53" t="s">
        <v>285</v>
      </c>
      <c r="P10" s="50" t="s">
        <v>233</v>
      </c>
      <c r="Q10" s="92" t="s">
        <v>286</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1.2749999999999999E-2</v>
      </c>
      <c r="F12" s="268">
        <f>IF($L$24&lt;&gt;"",IF($L$24=3,3,IF($L$24=2,2,1)),"")</f>
        <v>3</v>
      </c>
      <c r="G12" s="268">
        <f>IF($O$24&lt;&gt;"",IF($O$24=3,3,IF($O$24=2,2,1)),"")</f>
        <v>3</v>
      </c>
      <c r="H12" s="268">
        <f>IF($R$24&lt;&gt;"",IF($R$24=3,3,IF($R$24=2,2,1)),"")</f>
        <v>3</v>
      </c>
      <c r="I12" s="268" t="str">
        <f>IF($U$24&lt;&gt;"",IF($U$24=3,3,IF($U$24=2,2,1)),"")</f>
        <v/>
      </c>
      <c r="J12" s="32"/>
      <c r="K12" s="300" t="s">
        <v>240</v>
      </c>
      <c r="L12" s="274"/>
      <c r="M12" s="280"/>
      <c r="N12" s="299"/>
      <c r="O12" s="300" t="s">
        <v>240</v>
      </c>
      <c r="P12" s="274"/>
      <c r="Q12" s="280"/>
      <c r="R12" s="299"/>
      <c r="S12" s="274" t="s">
        <v>240</v>
      </c>
      <c r="T12" s="274"/>
      <c r="U12" s="280"/>
      <c r="V12" s="280"/>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f>IF($D13="No Cumple",0,IF($D13="Parcial",$E$18*0.4,IF($D13="Cumple",$E$18*0.7,IF($D13="Más que Cumple",$E$18*0.85,IF($D13="Mejor Práctica",$E$18,0)))))</f>
        <v>0</v>
      </c>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f>IF($D14="No Cumple",0,IF($D14="Parcial",$E$18*0.4,IF($D14="Cumple",$E$18*0.7,IF($D14="Más que Cumple",$E$18*0.85,IF($D14="Mejor Práctica",$E$18,0)))))</f>
        <v>0</v>
      </c>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1.4999999999999999E-2</v>
      </c>
      <c r="F18" s="41"/>
      <c r="G18" s="41"/>
      <c r="H18" s="41"/>
      <c r="I18" s="41"/>
      <c r="J18" s="9"/>
      <c r="K18" s="266" t="s">
        <v>569</v>
      </c>
      <c r="L18" s="264"/>
      <c r="M18" s="265"/>
      <c r="N18" s="266" t="s">
        <v>570</v>
      </c>
      <c r="O18" s="264"/>
      <c r="P18" s="265"/>
      <c r="Q18" s="266" t="s">
        <v>571</v>
      </c>
      <c r="R18" s="264"/>
      <c r="S18" s="265"/>
      <c r="T18" s="264" t="s">
        <v>572</v>
      </c>
      <c r="U18" s="264"/>
      <c r="V18" s="265"/>
      <c r="W18" s="9"/>
      <c r="X18" s="9"/>
      <c r="Y18" s="23"/>
    </row>
    <row r="19" spans="1:25" ht="124.5" customHeight="1" outlineLevel="2" x14ac:dyDescent="0.3">
      <c r="A19" s="1"/>
      <c r="B19" s="283"/>
      <c r="C19" s="283"/>
      <c r="D19" s="42" t="s">
        <v>257</v>
      </c>
      <c r="E19" s="307" t="s">
        <v>573</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t="s">
        <v>260</v>
      </c>
      <c r="R20" s="264"/>
      <c r="S20" s="265"/>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574</v>
      </c>
      <c r="L21" s="264"/>
      <c r="M21" s="265"/>
      <c r="N21" s="266" t="s">
        <v>575</v>
      </c>
      <c r="O21" s="264"/>
      <c r="P21" s="265"/>
      <c r="Q21" s="266" t="s">
        <v>576</v>
      </c>
      <c r="R21" s="264"/>
      <c r="S21" s="265"/>
      <c r="T21" s="264" t="s">
        <v>577</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3</v>
      </c>
      <c r="R24" s="40">
        <v>3</v>
      </c>
      <c r="S24" s="289"/>
      <c r="T24" s="40"/>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568</v>
      </c>
      <c r="L26" s="45"/>
      <c r="M26" s="289"/>
      <c r="N26" s="58" t="s">
        <v>578</v>
      </c>
      <c r="O26" s="45"/>
      <c r="P26" s="289"/>
      <c r="Q26" s="58" t="s">
        <v>579</v>
      </c>
      <c r="R26" s="45" t="s">
        <v>1146</v>
      </c>
      <c r="S26" s="289"/>
      <c r="T26" s="45"/>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05.7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687" priority="2" operator="containsText" text="Finalizado">
      <formula>NOT(ISERROR(SEARCH("Finalizado",D15)))</formula>
    </cfRule>
    <cfRule type="containsText" dxfId="686" priority="3" operator="containsText" text="No Planificado">
      <formula>NOT(ISERROR(SEARCH("No Planificado",D15)))</formula>
    </cfRule>
    <cfRule type="containsText" dxfId="685" priority="4" operator="containsText" text="A Tiempo">
      <formula>NOT(ISERROR(SEARCH("A Tiempo",D15)))</formula>
    </cfRule>
    <cfRule type="containsText" dxfId="684"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5">
      <iconSet showValue="0">
        <cfvo type="percent" val="0"/>
        <cfvo type="num" val="2"/>
        <cfvo type="num" val="3"/>
      </iconSet>
    </cfRule>
  </conditionalFormatting>
  <conditionalFormatting sqref="K25:L25">
    <cfRule type="containsText" dxfId="683" priority="29" operator="containsText" text="PENDIENTE">
      <formula>NOT(ISERROR(SEARCH("PENDIENTE",K25)))</formula>
    </cfRule>
    <cfRule type="containsText" dxfId="682" priority="30" operator="containsText" text="NO VALIDADO">
      <formula>NOT(ISERROR(SEARCH("NO VALIDADO",K25)))</formula>
    </cfRule>
    <cfRule type="containsText" dxfId="681" priority="31" operator="containsText" text="VALIDADO">
      <formula>NOT(ISERROR(SEARCH("VALIDADO",K25)))</formula>
    </cfRule>
  </conditionalFormatting>
  <conditionalFormatting sqref="N25:O25">
    <cfRule type="containsText" dxfId="680" priority="22" operator="containsText" text="PENDIENTE">
      <formula>NOT(ISERROR(SEARCH("PENDIENTE",N25)))</formula>
    </cfRule>
    <cfRule type="containsText" dxfId="679" priority="23" operator="containsText" text="NO VALIDADO">
      <formula>NOT(ISERROR(SEARCH("NO VALIDADO",N25)))</formula>
    </cfRule>
    <cfRule type="containsText" dxfId="678" priority="24" operator="containsText" text="VALIDADO">
      <formula>NOT(ISERROR(SEARCH("VALIDADO",N25)))</formula>
    </cfRule>
  </conditionalFormatting>
  <conditionalFormatting sqref="Q25:R25">
    <cfRule type="containsText" dxfId="677" priority="19" operator="containsText" text="PENDIENTE">
      <formula>NOT(ISERROR(SEARCH("PENDIENTE",Q25)))</formula>
    </cfRule>
    <cfRule type="containsText" dxfId="676" priority="20" operator="containsText" text="NO VALIDADO">
      <formula>NOT(ISERROR(SEARCH("NO VALIDADO",Q25)))</formula>
    </cfRule>
    <cfRule type="containsText" dxfId="675" priority="21" operator="containsText" text="VALIDADO">
      <formula>NOT(ISERROR(SEARCH("VALIDADO",Q25)))</formula>
    </cfRule>
  </conditionalFormatting>
  <conditionalFormatting sqref="T25:U25">
    <cfRule type="containsText" dxfId="674" priority="16" operator="containsText" text="PENDIENTE">
      <formula>NOT(ISERROR(SEARCH("PENDIENTE",T25)))</formula>
    </cfRule>
    <cfRule type="containsText" dxfId="673" priority="17" operator="containsText" text="NO VALIDADO">
      <formula>NOT(ISERROR(SEARCH("NO VALIDADO",T25)))</formula>
    </cfRule>
    <cfRule type="containsText" dxfId="672" priority="18" operator="containsText" text="VALIDADO">
      <formula>NOT(ISERROR(SEARCH("VALIDADO",T25)))</formula>
    </cfRule>
  </conditionalFormatting>
  <dataValidations count="6">
    <dataValidation type="list" allowBlank="1" showInputMessage="1" showErrorMessage="1" sqref="D10" xr:uid="{41201155-FFBD-4E16-A577-6B71014B6D63}">
      <formula1>"No Cumple, Parcial,Cumple,Más que Cumple,Mejor Práctica"</formula1>
    </dataValidation>
    <dataValidation type="list" allowBlank="1" showInputMessage="1" showErrorMessage="1" sqref="S10 Q10" xr:uid="{8365DD61-5181-49A4-99B5-31E8B42FC637}">
      <formula1>"Junio,Julio,Agosto,Septiembre,Octubre"</formula1>
    </dataValidation>
    <dataValidation type="list" allowBlank="1" showInputMessage="1" showErrorMessage="1" sqref="O10" xr:uid="{E75B98D2-E3C7-46B8-AFF0-4D3BD5722C93}">
      <formula1>"Alta,Baja,No Planificado"</formula1>
    </dataValidation>
    <dataValidation type="list" allowBlank="1" showInputMessage="1" showErrorMessage="1" sqref="AB14:AB15 R14:R15 N14:N15 V14:V15" xr:uid="{001D53E9-7583-425B-953A-73C001080B49}">
      <formula1>"No Cumple, Parcial, Cumple, Más que Cumple, Mejor Práctica"</formula1>
    </dataValidation>
    <dataValidation type="list" allowBlank="1" showInputMessage="1" showErrorMessage="1" sqref="M12 Q12 U12" xr:uid="{D3A209EF-59F1-42B3-8996-3AD87B003FFC}">
      <formula1>"Mayo,Junio,Julio,Agosto,Septiembre,Octubre"</formula1>
    </dataValidation>
    <dataValidation type="list" allowBlank="1" showInputMessage="1" showErrorMessage="1" sqref="K14:K15 O14:O15 S14:S15" xr:uid="{0D4C4B9E-DD88-45AB-99C6-7E707D600D95}">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8F2B317A-D4BF-47CC-B91B-3E8A61E98DFF}">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08370-A132-4196-9951-F2C7D637EC4E}">
  <sheetPr codeName="Planilha35"/>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580</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Mais que cumpre</v>
      </c>
      <c r="E7" s="47">
        <f>IF($D7="Não cumpre",0,IF($D7="Parcial",$E$18*0.4,IF($D7="Cumpre",$E$18*0.7,IF($D7="Mais que cumpre",$E$18*0.85,IF($D7="Melhor Prática",$E$18,0)))))</f>
        <v>1.2749999999999999E-2</v>
      </c>
      <c r="F7" s="48">
        <f>IF($K$24&lt;&gt;"",IF($K$24=3,3,IF($K$24=2,2,1)),"")</f>
        <v>3</v>
      </c>
      <c r="G7" s="48">
        <f>IF($N$24&lt;&gt;"",IF($N$24=3,3,IF($N$24=2,2,1)),"")</f>
        <v>3</v>
      </c>
      <c r="H7" s="48">
        <f>IF($Q$24&lt;&gt;"",IF($Q$24=3,3,IF($Q$24=2,2,1)),"")</f>
        <v>3</v>
      </c>
      <c r="I7" s="48" t="str">
        <f>IF($T$24&lt;&gt;"",IF($T$24=3,3,IF($T$24=2,2,1)),"")</f>
        <v/>
      </c>
      <c r="J7" s="32"/>
      <c r="K7" s="49" t="s">
        <v>224</v>
      </c>
      <c r="L7" s="46" t="s">
        <v>225</v>
      </c>
      <c r="M7" s="267" t="s">
        <v>581</v>
      </c>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1.2749999999999999E-2</v>
      </c>
      <c r="F10" s="52" t="str">
        <f>IF(K20="D","D","-")</f>
        <v>-</v>
      </c>
      <c r="G10" s="52" t="str">
        <f>IF(N20="D","D","-")</f>
        <v>-</v>
      </c>
      <c r="H10" s="52" t="str">
        <f>IF(Q20="D","D","-")</f>
        <v>-</v>
      </c>
      <c r="I10" s="52" t="str">
        <f>IF(T20="D","D","-")</f>
        <v>-</v>
      </c>
      <c r="J10" s="32"/>
      <c r="K10" s="66" t="s">
        <v>230</v>
      </c>
      <c r="L10" s="50" t="s">
        <v>231</v>
      </c>
      <c r="M10" s="75">
        <v>1</v>
      </c>
      <c r="N10" s="50" t="s">
        <v>232</v>
      </c>
      <c r="O10" s="53" t="s">
        <v>285</v>
      </c>
      <c r="P10" s="50" t="s">
        <v>233</v>
      </c>
      <c r="Q10" s="92" t="s">
        <v>286</v>
      </c>
      <c r="R10" s="50" t="s">
        <v>235</v>
      </c>
      <c r="S10" s="92" t="s">
        <v>286</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1.2749999999999999E-2</v>
      </c>
      <c r="F12" s="268">
        <f>IF($L$24&lt;&gt;"",IF($L$24=3,3,IF($L$24=2,2,1)),"")</f>
        <v>3</v>
      </c>
      <c r="G12" s="268">
        <f>IF($O$24&lt;&gt;"",IF($O$24=3,3,IF($O$24=2,2,1)),"")</f>
        <v>3</v>
      </c>
      <c r="H12" s="268">
        <f>IF($R$24&lt;&gt;"",IF($R$24=3,3,IF($R$24=2,2,1)),"")</f>
        <v>3</v>
      </c>
      <c r="I12" s="268">
        <f>IF($U$24&lt;&gt;"",IF($U$24=3,3,IF($U$24=2,2,1)),"")</f>
        <v>2</v>
      </c>
      <c r="J12" s="32"/>
      <c r="K12" s="300" t="s">
        <v>240</v>
      </c>
      <c r="L12" s="274"/>
      <c r="M12" s="280"/>
      <c r="N12" s="299"/>
      <c r="O12" s="300" t="s">
        <v>240</v>
      </c>
      <c r="P12" s="274"/>
      <c r="Q12" s="280"/>
      <c r="R12" s="299"/>
      <c r="S12" s="274" t="s">
        <v>240</v>
      </c>
      <c r="T12" s="274"/>
      <c r="U12" s="280"/>
      <c r="V12" s="280"/>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f>IF($D13="No Cumple",0,IF($D13="Parcial",$E$18*0.4,IF($D13="Cumple",$E$18*0.7,IF($D13="Más que Cumple",$E$18*0.85,IF($D13="Mejor Práctica",$E$18,0)))))</f>
        <v>0</v>
      </c>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f>IF($D14="No Cumple",0,IF($D14="Parcial",$E$18*0.4,IF($D14="Cumple",$E$18*0.7,IF($D14="Más que Cumple",$E$18*0.85,IF($D14="Mejor Práctica",$E$18,0)))))</f>
        <v>0</v>
      </c>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1.4999999999999999E-2</v>
      </c>
      <c r="F18" s="41"/>
      <c r="G18" s="41"/>
      <c r="H18" s="41"/>
      <c r="I18" s="41"/>
      <c r="J18" s="9"/>
      <c r="K18" s="266" t="s">
        <v>582</v>
      </c>
      <c r="L18" s="264"/>
      <c r="M18" s="265"/>
      <c r="N18" s="266" t="s">
        <v>583</v>
      </c>
      <c r="O18" s="264"/>
      <c r="P18" s="265"/>
      <c r="Q18" s="266" t="s">
        <v>584</v>
      </c>
      <c r="R18" s="264"/>
      <c r="S18" s="265"/>
      <c r="T18" s="264" t="s">
        <v>585</v>
      </c>
      <c r="U18" s="264"/>
      <c r="V18" s="265"/>
      <c r="W18" s="9"/>
      <c r="X18" s="9"/>
      <c r="Y18" s="23"/>
    </row>
    <row r="19" spans="1:25" ht="124.5" customHeight="1" outlineLevel="2" x14ac:dyDescent="0.3">
      <c r="A19" s="1"/>
      <c r="B19" s="283"/>
      <c r="C19" s="283"/>
      <c r="D19" s="42" t="s">
        <v>257</v>
      </c>
      <c r="E19" s="307" t="s">
        <v>586</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587</v>
      </c>
      <c r="L21" s="264"/>
      <c r="M21" s="265"/>
      <c r="N21" s="266" t="s">
        <v>383</v>
      </c>
      <c r="O21" s="264"/>
      <c r="P21" s="265"/>
      <c r="Q21" s="266" t="s">
        <v>383</v>
      </c>
      <c r="R21" s="264"/>
      <c r="S21" s="265"/>
      <c r="T21" s="264" t="s">
        <v>383</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3</v>
      </c>
      <c r="R24" s="40">
        <v>3</v>
      </c>
      <c r="S24" s="289"/>
      <c r="T24" s="40"/>
      <c r="U24" s="40">
        <v>2</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45" t="s">
        <v>588</v>
      </c>
      <c r="L26" s="318"/>
      <c r="M26" s="289"/>
      <c r="N26" s="58" t="s">
        <v>589</v>
      </c>
      <c r="O26" s="45"/>
      <c r="P26" s="289"/>
      <c r="Q26" s="58" t="s">
        <v>590</v>
      </c>
      <c r="R26" s="45"/>
      <c r="S26" s="289"/>
      <c r="T26" s="45"/>
      <c r="U26" s="45" t="s">
        <v>1201</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30.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671" priority="2" operator="containsText" text="Finalizado">
      <formula>NOT(ISERROR(SEARCH("Finalizado",D15)))</formula>
    </cfRule>
    <cfRule type="containsText" dxfId="670" priority="3" operator="containsText" text="No Planificado">
      <formula>NOT(ISERROR(SEARCH("No Planificado",D15)))</formula>
    </cfRule>
    <cfRule type="containsText" dxfId="669" priority="4" operator="containsText" text="A Tiempo">
      <formula>NOT(ISERROR(SEARCH("A Tiempo",D15)))</formula>
    </cfRule>
    <cfRule type="containsText" dxfId="668"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667" priority="20" operator="containsText" text="PENDIENTE">
      <formula>NOT(ISERROR(SEARCH("PENDIENTE",K25)))</formula>
    </cfRule>
    <cfRule type="containsText" dxfId="666" priority="21" operator="containsText" text="NO VALIDADO">
      <formula>NOT(ISERROR(SEARCH("NO VALIDADO",K25)))</formula>
    </cfRule>
    <cfRule type="containsText" dxfId="665" priority="22" operator="containsText" text="VALIDADO">
      <formula>NOT(ISERROR(SEARCH("VALIDADO",K25)))</formula>
    </cfRule>
  </conditionalFormatting>
  <conditionalFormatting sqref="N25:O25">
    <cfRule type="containsText" dxfId="664" priority="17" operator="containsText" text="PENDIENTE">
      <formula>NOT(ISERROR(SEARCH("PENDIENTE",N25)))</formula>
    </cfRule>
    <cfRule type="containsText" dxfId="663" priority="18" operator="containsText" text="NO VALIDADO">
      <formula>NOT(ISERROR(SEARCH("NO VALIDADO",N25)))</formula>
    </cfRule>
    <cfRule type="containsText" dxfId="662" priority="19" operator="containsText" text="VALIDADO">
      <formula>NOT(ISERROR(SEARCH("VALIDADO",N25)))</formula>
    </cfRule>
  </conditionalFormatting>
  <conditionalFormatting sqref="Q25:R25">
    <cfRule type="containsText" dxfId="661" priority="14" operator="containsText" text="PENDIENTE">
      <formula>NOT(ISERROR(SEARCH("PENDIENTE",Q25)))</formula>
    </cfRule>
    <cfRule type="containsText" dxfId="660" priority="15" operator="containsText" text="NO VALIDADO">
      <formula>NOT(ISERROR(SEARCH("NO VALIDADO",Q25)))</formula>
    </cfRule>
    <cfRule type="containsText" dxfId="659" priority="16" operator="containsText" text="VALIDADO">
      <formula>NOT(ISERROR(SEARCH("VALIDADO",Q25)))</formula>
    </cfRule>
  </conditionalFormatting>
  <conditionalFormatting sqref="T25:U25">
    <cfRule type="containsText" dxfId="658" priority="11" operator="containsText" text="PENDIENTE">
      <formula>NOT(ISERROR(SEARCH("PENDIENTE",T25)))</formula>
    </cfRule>
    <cfRule type="containsText" dxfId="657" priority="12" operator="containsText" text="NO VALIDADO">
      <formula>NOT(ISERROR(SEARCH("NO VALIDADO",T25)))</formula>
    </cfRule>
    <cfRule type="containsText" dxfId="656" priority="13" operator="containsText" text="VALIDADO">
      <formula>NOT(ISERROR(SEARCH("VALIDADO",T25)))</formula>
    </cfRule>
  </conditionalFormatting>
  <dataValidations count="6">
    <dataValidation type="list" allowBlank="1" showInputMessage="1" showErrorMessage="1" sqref="K14:K15 O14:O15 S14:S15" xr:uid="{4397282E-5D05-483D-A3D5-F1FA4C974AA0}">
      <formula1>"No Iniciado, En Progreso,Finalizado"</formula1>
    </dataValidation>
    <dataValidation type="list" allowBlank="1" showInputMessage="1" showErrorMessage="1" sqref="M12 Q12 U12" xr:uid="{D6337BBF-59DC-40BC-9980-7214CCE79F8D}">
      <formula1>"Mayo,Junio,Julio,Agosto,Septiembre,Octubre"</formula1>
    </dataValidation>
    <dataValidation type="list" allowBlank="1" showInputMessage="1" showErrorMessage="1" sqref="AB14:AB15 R14:R15 N14:N15 V14:V15" xr:uid="{F47C34AD-4641-4981-8ED4-6CA8A1088DB3}">
      <formula1>"No Cumple, Parcial, Cumple, Más que Cumple, Mejor Práctica"</formula1>
    </dataValidation>
    <dataValidation type="list" allowBlank="1" showInputMessage="1" showErrorMessage="1" sqref="O10" xr:uid="{A66210C2-6E00-419B-88BD-00E1AA8C2060}">
      <formula1>"Alta,Baja,No Planificado"</formula1>
    </dataValidation>
    <dataValidation type="list" allowBlank="1" showInputMessage="1" showErrorMessage="1" sqref="S10 Q10" xr:uid="{31D4314C-DBB1-42CE-8FC4-6FC71E4C813C}">
      <formula1>"Junio,Julio,Agosto,Septiembre,Octubre"</formula1>
    </dataValidation>
    <dataValidation type="list" allowBlank="1" showInputMessage="1" showErrorMessage="1" sqref="D10" xr:uid="{EA475574-E027-4116-BD83-D8C06EE75865}">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4331E7D9-7BFD-4535-A7C6-9F2A16D00863}">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EA89A-37C0-4348-90A2-319B0396CDA1}">
  <sheetPr codeName="Planilha36"/>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0" t="s">
        <v>591</v>
      </c>
      <c r="L3" s="310"/>
      <c r="M3" s="310"/>
      <c r="N3" s="310"/>
      <c r="O3" s="310"/>
      <c r="P3" s="310"/>
      <c r="Q3" s="310"/>
      <c r="R3" s="310"/>
      <c r="S3" s="310"/>
      <c r="T3" s="63"/>
      <c r="U3" s="63"/>
      <c r="V3" s="63"/>
      <c r="W3" s="10"/>
      <c r="X3" s="10"/>
      <c r="Y3" s="12"/>
      <c r="Z3" s="12"/>
      <c r="AA3" s="12"/>
    </row>
    <row r="4" spans="1:28" ht="35.25" customHeight="1" x14ac:dyDescent="0.25">
      <c r="A4" s="1"/>
      <c r="B4" s="1"/>
      <c r="C4" s="10"/>
      <c r="D4" s="277"/>
      <c r="E4" s="277"/>
      <c r="F4" s="277"/>
      <c r="G4" s="277"/>
      <c r="H4" s="277"/>
      <c r="I4" s="277"/>
      <c r="J4" s="61"/>
      <c r="K4" s="311"/>
      <c r="L4" s="311"/>
      <c r="M4" s="311"/>
      <c r="N4" s="311"/>
      <c r="O4" s="311"/>
      <c r="P4" s="311"/>
      <c r="Q4" s="311"/>
      <c r="R4" s="311"/>
      <c r="S4" s="311"/>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2E-3</v>
      </c>
      <c r="F7" s="48">
        <f>IF($K$24&lt;&gt;"",IF($K$24=3,3,IF($K$24=2,2,1)),"")</f>
        <v>3</v>
      </c>
      <c r="G7" s="48">
        <f>IF($N$24&lt;&gt;"",IF($N$24=3,3,IF($N$24=2,2,1)),"")</f>
        <v>2</v>
      </c>
      <c r="H7" s="48">
        <f>IF($Q$24&lt;&gt;"",IF($Q$24=3,3,IF($Q$24=2,2,1)),"")</f>
        <v>3</v>
      </c>
      <c r="I7" s="48" t="str">
        <f>IF($T$24&lt;&gt;"",IF($T$24=3,3,IF($T$24=2,2,1)),"")</f>
        <v/>
      </c>
      <c r="J7" s="32"/>
      <c r="K7" s="49" t="s">
        <v>224</v>
      </c>
      <c r="L7" s="46" t="s">
        <v>225</v>
      </c>
      <c r="M7" s="267" t="s">
        <v>592</v>
      </c>
      <c r="N7" s="267"/>
      <c r="O7" s="267"/>
      <c r="P7" s="46" t="s">
        <v>227</v>
      </c>
      <c r="Q7" s="267" t="s">
        <v>593</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5.0000000000000001E-3</v>
      </c>
      <c r="F10" s="52" t="str">
        <f>IF(K20="D","D","-")</f>
        <v>-</v>
      </c>
      <c r="G10" s="52" t="str">
        <f>IF(N20="D","D","-")</f>
        <v>-</v>
      </c>
      <c r="H10" s="52" t="str">
        <f>IF(Q20="D","D","-")</f>
        <v>-</v>
      </c>
      <c r="I10" s="52" t="str">
        <f>IF(T20="D","D","-")</f>
        <v>-</v>
      </c>
      <c r="J10" s="32"/>
      <c r="K10" s="66" t="s">
        <v>230</v>
      </c>
      <c r="L10" s="50" t="s">
        <v>231</v>
      </c>
      <c r="M10" s="75">
        <v>3</v>
      </c>
      <c r="N10" s="50" t="s">
        <v>232</v>
      </c>
      <c r="O10" s="53" t="s">
        <v>374</v>
      </c>
      <c r="P10" s="50" t="s">
        <v>233</v>
      </c>
      <c r="Q10" s="92" t="s">
        <v>286</v>
      </c>
      <c r="R10" s="50" t="s">
        <v>235</v>
      </c>
      <c r="S10" s="92" t="s">
        <v>321</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5.0000000000000001E-3</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422</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t="s">
        <v>250</v>
      </c>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5" t="s">
        <v>251</v>
      </c>
      <c r="U17" s="285"/>
      <c r="V17" s="290"/>
      <c r="W17" s="9"/>
      <c r="X17" s="9"/>
      <c r="Y17" s="23"/>
    </row>
    <row r="18" spans="1:25" ht="20.25" customHeight="1" outlineLevel="2" x14ac:dyDescent="0.3">
      <c r="A18" s="1"/>
      <c r="B18" s="283" t="s">
        <v>252</v>
      </c>
      <c r="C18" s="283"/>
      <c r="D18" s="42" t="s">
        <v>53</v>
      </c>
      <c r="E18" s="39">
        <v>5.0000000000000001E-3</v>
      </c>
      <c r="F18" s="116"/>
      <c r="G18" s="116"/>
      <c r="H18" s="116"/>
      <c r="I18" s="116"/>
      <c r="J18" s="9"/>
      <c r="K18" s="266" t="s">
        <v>594</v>
      </c>
      <c r="L18" s="264"/>
      <c r="M18" s="265"/>
      <c r="N18" s="266" t="s">
        <v>595</v>
      </c>
      <c r="O18" s="264"/>
      <c r="P18" s="265"/>
      <c r="Q18" s="266" t="s">
        <v>596</v>
      </c>
      <c r="R18" s="264"/>
      <c r="S18" s="265"/>
      <c r="T18" s="264" t="s">
        <v>597</v>
      </c>
      <c r="U18" s="264"/>
      <c r="V18" s="265"/>
      <c r="W18" s="9"/>
      <c r="X18" s="9"/>
      <c r="Y18" s="23"/>
    </row>
    <row r="19" spans="1:25" ht="141.75" customHeight="1" outlineLevel="2" x14ac:dyDescent="0.3">
      <c r="A19" s="1"/>
      <c r="B19" s="283"/>
      <c r="C19" s="283"/>
      <c r="D19" s="42" t="s">
        <v>257</v>
      </c>
      <c r="E19" s="307" t="s">
        <v>598</v>
      </c>
      <c r="F19" s="307"/>
      <c r="G19" s="307"/>
      <c r="H19" s="307"/>
      <c r="I19" s="307"/>
      <c r="J19" s="25"/>
      <c r="K19" s="266"/>
      <c r="L19" s="264"/>
      <c r="M19" s="265"/>
      <c r="N19" s="266"/>
      <c r="O19" s="264"/>
      <c r="P19" s="265"/>
      <c r="Q19" s="266"/>
      <c r="R19" s="264"/>
      <c r="S19" s="265"/>
      <c r="T19" s="264"/>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c r="R20" s="264"/>
      <c r="S20" s="265"/>
      <c r="T20" s="264"/>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599</v>
      </c>
      <c r="L21" s="264"/>
      <c r="M21" s="265"/>
      <c r="N21" s="266" t="s">
        <v>329</v>
      </c>
      <c r="O21" s="264"/>
      <c r="P21" s="265"/>
      <c r="Q21" s="266" t="s">
        <v>577</v>
      </c>
      <c r="R21" s="264"/>
      <c r="S21" s="265"/>
      <c r="T21" s="264" t="s">
        <v>577</v>
      </c>
      <c r="U21" s="264"/>
      <c r="V21" s="265"/>
      <c r="W21" s="9"/>
      <c r="X21" s="9"/>
      <c r="Y21" s="23"/>
    </row>
    <row r="22" spans="1:25" ht="16.5" x14ac:dyDescent="0.3">
      <c r="A22" s="1"/>
      <c r="B22" s="9"/>
      <c r="C22" s="9"/>
      <c r="D22" s="9"/>
      <c r="E22" s="9"/>
      <c r="F22" s="9"/>
      <c r="G22" s="9"/>
      <c r="H22" s="9"/>
      <c r="I22" s="9"/>
      <c r="J22" s="9"/>
      <c r="K22" s="69"/>
      <c r="L22" s="9"/>
      <c r="M22" s="70"/>
      <c r="N22" s="69"/>
      <c r="O22" s="9"/>
      <c r="P22" s="70"/>
      <c r="Q22" s="69"/>
      <c r="R22" s="9"/>
      <c r="S22" s="70"/>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65"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v>3</v>
      </c>
      <c r="R24" s="40">
        <v>3</v>
      </c>
      <c r="S24" s="289"/>
      <c r="T24" s="40"/>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43"/>
      <c r="U25" s="43"/>
      <c r="V25" s="289"/>
      <c r="X25" s="9"/>
      <c r="Y25" s="23"/>
    </row>
    <row r="26" spans="1:25" ht="208.5" customHeight="1" x14ac:dyDescent="0.3">
      <c r="A26" s="1"/>
      <c r="B26" s="9"/>
      <c r="C26" s="9"/>
      <c r="D26" s="9"/>
      <c r="F26" s="291"/>
      <c r="G26" s="292" t="s">
        <v>242</v>
      </c>
      <c r="H26" s="292"/>
      <c r="I26" s="292"/>
      <c r="K26" s="58" t="s">
        <v>600</v>
      </c>
      <c r="L26" s="45" t="s">
        <v>260</v>
      </c>
      <c r="M26" s="289"/>
      <c r="N26" s="58" t="s">
        <v>601</v>
      </c>
      <c r="O26" s="45" t="s">
        <v>1147</v>
      </c>
      <c r="P26" s="289"/>
      <c r="Q26" s="45" t="s">
        <v>602</v>
      </c>
      <c r="R26" s="45" t="s">
        <v>1148</v>
      </c>
      <c r="S26" s="289"/>
      <c r="T26" s="45"/>
      <c r="U26" s="45" t="s">
        <v>1149</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30.5"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655" priority="2" operator="containsText" text="Finalizado">
      <formula>NOT(ISERROR(SEARCH("Finalizado",D15)))</formula>
    </cfRule>
    <cfRule type="containsText" dxfId="654" priority="3" operator="containsText" text="No Planificado">
      <formula>NOT(ISERROR(SEARCH("No Planificado",D15)))</formula>
    </cfRule>
    <cfRule type="containsText" dxfId="653" priority="4" operator="containsText" text="A Tiempo">
      <formula>NOT(ISERROR(SEARCH("A Tiempo",D15)))</formula>
    </cfRule>
    <cfRule type="containsText" dxfId="652"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651" priority="20" operator="containsText" text="PENDIENTE">
      <formula>NOT(ISERROR(SEARCH("PENDIENTE",K25)))</formula>
    </cfRule>
    <cfRule type="containsText" dxfId="650" priority="21" operator="containsText" text="NO VALIDADO">
      <formula>NOT(ISERROR(SEARCH("NO VALIDADO",K25)))</formula>
    </cfRule>
    <cfRule type="containsText" dxfId="649" priority="22" operator="containsText" text="VALIDADO">
      <formula>NOT(ISERROR(SEARCH("VALIDADO",K25)))</formula>
    </cfRule>
  </conditionalFormatting>
  <conditionalFormatting sqref="N25:O25">
    <cfRule type="containsText" dxfId="648" priority="17" operator="containsText" text="PENDIENTE">
      <formula>NOT(ISERROR(SEARCH("PENDIENTE",N25)))</formula>
    </cfRule>
    <cfRule type="containsText" dxfId="647" priority="18" operator="containsText" text="NO VALIDADO">
      <formula>NOT(ISERROR(SEARCH("NO VALIDADO",N25)))</formula>
    </cfRule>
    <cfRule type="containsText" dxfId="646" priority="19" operator="containsText" text="VALIDADO">
      <formula>NOT(ISERROR(SEARCH("VALIDADO",N25)))</formula>
    </cfRule>
  </conditionalFormatting>
  <conditionalFormatting sqref="Q25:R25">
    <cfRule type="containsText" dxfId="645" priority="14" operator="containsText" text="PENDIENTE">
      <formula>NOT(ISERROR(SEARCH("PENDIENTE",Q25)))</formula>
    </cfRule>
    <cfRule type="containsText" dxfId="644" priority="15" operator="containsText" text="NO VALIDADO">
      <formula>NOT(ISERROR(SEARCH("NO VALIDADO",Q25)))</formula>
    </cfRule>
    <cfRule type="containsText" dxfId="643" priority="16" operator="containsText" text="VALIDADO">
      <formula>NOT(ISERROR(SEARCH("VALIDADO",Q25)))</formula>
    </cfRule>
  </conditionalFormatting>
  <conditionalFormatting sqref="T25:U25">
    <cfRule type="containsText" dxfId="642" priority="11" operator="containsText" text="PENDIENTE">
      <formula>NOT(ISERROR(SEARCH("PENDIENTE",T25)))</formula>
    </cfRule>
    <cfRule type="containsText" dxfId="641" priority="12" operator="containsText" text="NO VALIDADO">
      <formula>NOT(ISERROR(SEARCH("NO VALIDADO",T25)))</formula>
    </cfRule>
    <cfRule type="containsText" dxfId="640" priority="13" operator="containsText" text="VALIDADO">
      <formula>NOT(ISERROR(SEARCH("VALIDADO",T25)))</formula>
    </cfRule>
  </conditionalFormatting>
  <dataValidations count="6">
    <dataValidation type="list" allowBlank="1" showInputMessage="1" showErrorMessage="1" sqref="D10" xr:uid="{9A6085E7-A364-47CF-834F-8C8A0B3BD402}">
      <formula1>"No Cumple, Parcial,Cumple,Más que Cumple,Mejor Práctica"</formula1>
    </dataValidation>
    <dataValidation type="list" allowBlank="1" showInputMessage="1" showErrorMessage="1" sqref="S10 Q10" xr:uid="{D6AD3D88-0A97-447D-9156-0508110E2765}">
      <formula1>"Junio,Julio,Agosto,Septiembre,Octubre"</formula1>
    </dataValidation>
    <dataValidation type="list" allowBlank="1" showInputMessage="1" showErrorMessage="1" sqref="O10" xr:uid="{7229DF13-9F7B-4FB3-BD37-75468E4AF936}">
      <formula1>"Alta,Baja,No Planificado"</formula1>
    </dataValidation>
    <dataValidation type="list" allowBlank="1" showInputMessage="1" showErrorMessage="1" sqref="AB14:AB15 R14:R15 N14:N15 V14:V15" xr:uid="{5D773F2C-9395-47E3-8024-49BC839B8C01}">
      <formula1>"No Cumple, Parcial, Cumple, Más que Cumple, Mejor Práctica"</formula1>
    </dataValidation>
    <dataValidation type="list" allowBlank="1" showInputMessage="1" showErrorMessage="1" sqref="M12 Q12 U12" xr:uid="{4174AE02-1E1D-4090-84C1-C4A9B332BBB7}">
      <formula1>"Mayo,Junio,Julio,Agosto,Septiembre,Octubre"</formula1>
    </dataValidation>
    <dataValidation type="list" allowBlank="1" showInputMessage="1" showErrorMessage="1" sqref="K14:K15 O14:O15 S14:S15" xr:uid="{D6C82D13-1F1D-4B94-81FF-488AF733A29C}">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9D95B62-E20B-43DA-B5CD-9D37671F9D0F}">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12151-3C44-4997-8F03-631507C37E87}">
  <sheetPr codeName="Planilha37"/>
  <dimension ref="A1:AB51"/>
  <sheetViews>
    <sheetView showGridLines="0" zoomScale="50" zoomScaleNormal="50" workbookViewId="0">
      <pane xSplit="3" ySplit="4" topLeftCell="D14"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603</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6.0000000000000001E-3</v>
      </c>
      <c r="F7" s="48">
        <f>IF($K$24&lt;&gt;"",IF($K$24=3,3,IF($K$24=2,2,1)),"")</f>
        <v>3</v>
      </c>
      <c r="G7" s="48">
        <f>IF($N$24&lt;&gt;"",IF($N$24=3,3,IF($N$24=2,2,1)),"")</f>
        <v>2</v>
      </c>
      <c r="H7" s="48">
        <f>IF($Q$24&lt;&gt;"",IF($Q$24=3,3,IF($Q$24=2,2,1)),"")</f>
        <v>1</v>
      </c>
      <c r="I7" s="48">
        <f>IF($T$24&lt;&gt;"",IF($T$24=3,3,IF($T$24=2,2,1)),"")</f>
        <v>3</v>
      </c>
      <c r="J7" s="32"/>
      <c r="K7" s="49" t="s">
        <v>224</v>
      </c>
      <c r="L7" s="46" t="s">
        <v>225</v>
      </c>
      <c r="M7" s="267" t="s">
        <v>604</v>
      </c>
      <c r="N7" s="267"/>
      <c r="O7" s="267"/>
      <c r="P7" s="46" t="s">
        <v>227</v>
      </c>
      <c r="Q7" s="267" t="s">
        <v>605</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1.4999999999999999E-2</v>
      </c>
      <c r="F10" s="52" t="str">
        <f>IF(K20="D","D","-")</f>
        <v>-</v>
      </c>
      <c r="G10" s="52" t="str">
        <f>IF(N20="D","D","-")</f>
        <v>-</v>
      </c>
      <c r="H10" s="52" t="str">
        <f>IF(Q20="D","D","-")</f>
        <v>-</v>
      </c>
      <c r="I10" s="52" t="str">
        <f>IF(T20="D","D","-")</f>
        <v>-</v>
      </c>
      <c r="J10" s="32"/>
      <c r="K10" s="66" t="s">
        <v>230</v>
      </c>
      <c r="L10" s="50" t="s">
        <v>231</v>
      </c>
      <c r="M10" s="75">
        <v>3</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1.4999999999999999E-2</v>
      </c>
      <c r="F12" s="268">
        <f>IF($L$24&lt;&gt;"",IF($L$24=3,3,IF($L$24=2,2,1)),"")</f>
        <v>3</v>
      </c>
      <c r="G12" s="268">
        <f>IF($O$24&lt;&gt;"",IF($O$24=3,3,IF($O$24=2,2,1)),"")</f>
        <v>3</v>
      </c>
      <c r="H12" s="268">
        <f>IF($R$24&lt;&gt;"",IF($R$24=3,3,IF($R$24=2,2,1)),"")</f>
        <v>3</v>
      </c>
      <c r="I12" s="268">
        <f>IF($U$24&lt;&gt;"",IF($U$24=3,3,IF($U$24=2,2,1)),"")</f>
        <v>3</v>
      </c>
      <c r="J12" s="32"/>
      <c r="K12" s="300" t="s">
        <v>240</v>
      </c>
      <c r="L12" s="274"/>
      <c r="M12" s="280" t="s">
        <v>234</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606</v>
      </c>
      <c r="M14" s="286"/>
      <c r="N14" s="265" t="s">
        <v>246</v>
      </c>
      <c r="O14" s="266" t="s">
        <v>247</v>
      </c>
      <c r="P14" s="286"/>
      <c r="Q14" s="286"/>
      <c r="R14" s="265" t="s">
        <v>246</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607</v>
      </c>
      <c r="L18" s="264"/>
      <c r="M18" s="265"/>
      <c r="N18" s="266" t="s">
        <v>608</v>
      </c>
      <c r="O18" s="264"/>
      <c r="P18" s="265"/>
      <c r="Q18" s="266" t="s">
        <v>609</v>
      </c>
      <c r="R18" s="264"/>
      <c r="S18" s="265"/>
      <c r="T18" s="266" t="s">
        <v>610</v>
      </c>
      <c r="U18" s="264"/>
      <c r="V18" s="265"/>
      <c r="W18" s="9"/>
      <c r="X18" s="9"/>
      <c r="Y18" s="23"/>
    </row>
    <row r="19" spans="1:25" ht="141.75" customHeight="1" outlineLevel="2" x14ac:dyDescent="0.3">
      <c r="A19" s="1"/>
      <c r="B19" s="283"/>
      <c r="C19" s="283"/>
      <c r="D19" s="42" t="s">
        <v>257</v>
      </c>
      <c r="E19" s="307" t="s">
        <v>611</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574</v>
      </c>
      <c r="L21" s="264"/>
      <c r="M21" s="265"/>
      <c r="N21" s="266" t="s">
        <v>329</v>
      </c>
      <c r="O21" s="264"/>
      <c r="P21" s="265"/>
      <c r="Q21" s="266" t="s">
        <v>612</v>
      </c>
      <c r="R21" s="264"/>
      <c r="S21" s="265"/>
      <c r="T21" s="266" t="s">
        <v>383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v>1</v>
      </c>
      <c r="R24" s="40">
        <v>3</v>
      </c>
      <c r="S24" s="289"/>
      <c r="T24" s="56">
        <v>3</v>
      </c>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613</v>
      </c>
      <c r="L26" s="45"/>
      <c r="M26" s="289"/>
      <c r="N26" s="58" t="s">
        <v>614</v>
      </c>
      <c r="O26" s="45" t="s">
        <v>1202</v>
      </c>
      <c r="P26" s="289"/>
      <c r="Q26" s="58"/>
      <c r="R26" s="45" t="s">
        <v>615</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639" priority="2" operator="containsText" text="Finalizado">
      <formula>NOT(ISERROR(SEARCH("Finalizado",D15)))</formula>
    </cfRule>
    <cfRule type="containsText" dxfId="638" priority="3" operator="containsText" text="No Planificado">
      <formula>NOT(ISERROR(SEARCH("No Planificado",D15)))</formula>
    </cfRule>
    <cfRule type="containsText" dxfId="637" priority="4" operator="containsText" text="A Tiempo">
      <formula>NOT(ISERROR(SEARCH("A Tiempo",D15)))</formula>
    </cfRule>
    <cfRule type="containsText" dxfId="636"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635" priority="20" operator="containsText" text="PENDIENTE">
      <formula>NOT(ISERROR(SEARCH("PENDIENTE",K25)))</formula>
    </cfRule>
    <cfRule type="containsText" dxfId="634" priority="21" operator="containsText" text="NO VALIDADO">
      <formula>NOT(ISERROR(SEARCH("NO VALIDADO",K25)))</formula>
    </cfRule>
    <cfRule type="containsText" dxfId="633" priority="22" operator="containsText" text="VALIDADO">
      <formula>NOT(ISERROR(SEARCH("VALIDADO",K25)))</formula>
    </cfRule>
  </conditionalFormatting>
  <conditionalFormatting sqref="N25:O25">
    <cfRule type="containsText" dxfId="632" priority="17" operator="containsText" text="PENDIENTE">
      <formula>NOT(ISERROR(SEARCH("PENDIENTE",N25)))</formula>
    </cfRule>
    <cfRule type="containsText" dxfId="631" priority="18" operator="containsText" text="NO VALIDADO">
      <formula>NOT(ISERROR(SEARCH("NO VALIDADO",N25)))</formula>
    </cfRule>
    <cfRule type="containsText" dxfId="630" priority="19" operator="containsText" text="VALIDADO">
      <formula>NOT(ISERROR(SEARCH("VALIDADO",N25)))</formula>
    </cfRule>
  </conditionalFormatting>
  <conditionalFormatting sqref="Q25:R25">
    <cfRule type="containsText" dxfId="629" priority="14" operator="containsText" text="PENDIENTE">
      <formula>NOT(ISERROR(SEARCH("PENDIENTE",Q25)))</formula>
    </cfRule>
    <cfRule type="containsText" dxfId="628" priority="15" operator="containsText" text="NO VALIDADO">
      <formula>NOT(ISERROR(SEARCH("NO VALIDADO",Q25)))</formula>
    </cfRule>
    <cfRule type="containsText" dxfId="627" priority="16" operator="containsText" text="VALIDADO">
      <formula>NOT(ISERROR(SEARCH("VALIDADO",Q25)))</formula>
    </cfRule>
  </conditionalFormatting>
  <conditionalFormatting sqref="T25:U25">
    <cfRule type="containsText" dxfId="626" priority="11" operator="containsText" text="PENDIENTE">
      <formula>NOT(ISERROR(SEARCH("PENDIENTE",T25)))</formula>
    </cfRule>
    <cfRule type="containsText" dxfId="625" priority="12" operator="containsText" text="NO VALIDADO">
      <formula>NOT(ISERROR(SEARCH("NO VALIDADO",T25)))</formula>
    </cfRule>
    <cfRule type="containsText" dxfId="624" priority="13" operator="containsText" text="VALIDADO">
      <formula>NOT(ISERROR(SEARCH("VALIDADO",T25)))</formula>
    </cfRule>
  </conditionalFormatting>
  <dataValidations count="6">
    <dataValidation type="list" allowBlank="1" showInputMessage="1" showErrorMessage="1" sqref="K14:K15 O14:O15 S14:S15" xr:uid="{FD00171B-45AB-43ED-9504-7B3C2F7C23FD}">
      <formula1>"No Iniciado, En Progreso,Finalizado"</formula1>
    </dataValidation>
    <dataValidation type="list" allowBlank="1" showInputMessage="1" showErrorMessage="1" sqref="M12 Q12 U12" xr:uid="{957EF140-8796-4354-98FC-5D55F95A0F23}">
      <formula1>"Mayo,Junio,Julio,Agosto,Septiembre,Octubre"</formula1>
    </dataValidation>
    <dataValidation type="list" allowBlank="1" showInputMessage="1" showErrorMessage="1" sqref="AB14:AB15 R14:R15 N14:N15 V14:V15" xr:uid="{6AA66A7C-4E05-4648-A34A-394AF1106DBE}">
      <formula1>"No Cumple, Parcial, Cumple, Más que Cumple, Mejor Práctica"</formula1>
    </dataValidation>
    <dataValidation type="list" allowBlank="1" showInputMessage="1" showErrorMessage="1" sqref="O10" xr:uid="{F7390A4A-E9B5-4C01-806E-D6E83ACF7C9C}">
      <formula1>"Alta,Baja,No Planificado"</formula1>
    </dataValidation>
    <dataValidation type="list" allowBlank="1" showInputMessage="1" showErrorMessage="1" sqref="S10 Q10" xr:uid="{3503D61C-4263-4151-A7E3-3FC427976F07}">
      <formula1>"Junio,Julio,Agosto,Septiembre,Octubre"</formula1>
    </dataValidation>
    <dataValidation type="list" allowBlank="1" showInputMessage="1" showErrorMessage="1" sqref="D10" xr:uid="{629F0D96-A271-4E54-B70B-59D12B9E778C}">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7565954D-BAFE-4CA9-AA25-CA8145066E7B}">
            <x14:iconSet iconSet="3Stars" showValue="0">
              <x14:cfvo type="percent">
                <xm:f>0</xm:f>
              </x14:cfvo>
              <x14:cfvo type="num">
                <xm:f>2</xm:f>
              </x14:cfvo>
              <x14:cfvo type="num">
                <xm:f>3</xm:f>
              </x14:cfvo>
            </x14:iconSet>
          </x14:cfRule>
          <xm:sqref>M10</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F9EFB-860D-4304-AB3C-1EB68C909FDE}">
  <sheetPr codeName="Planilha38"/>
  <dimension ref="A1:AB51"/>
  <sheetViews>
    <sheetView showGridLines="0" zoomScale="50" zoomScaleNormal="50" workbookViewId="0">
      <pane xSplit="3" ySplit="4" topLeftCell="E13"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616</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3</v>
      </c>
      <c r="H7" s="48">
        <f>IF($Q$24&lt;&gt;"",IF($Q$24=3,3,IF($Q$24=2,2,1)),"")</f>
        <v>1</v>
      </c>
      <c r="I7" s="48">
        <f>IF($T$24&lt;&gt;"",IF($T$24=3,3,IF($T$24=2,2,1)),"")</f>
        <v>1</v>
      </c>
      <c r="J7" s="32"/>
      <c r="K7" s="49" t="s">
        <v>224</v>
      </c>
      <c r="L7" s="46" t="s">
        <v>225</v>
      </c>
      <c r="M7" s="267" t="s">
        <v>617</v>
      </c>
      <c r="N7" s="267"/>
      <c r="O7" s="267"/>
      <c r="P7" s="46" t="s">
        <v>227</v>
      </c>
      <c r="Q7" s="267" t="s">
        <v>618</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1.7000000000000001E-2</v>
      </c>
      <c r="F10" s="52" t="str">
        <f>IF(K20="D","D","-")</f>
        <v>-</v>
      </c>
      <c r="G10" s="52" t="str">
        <f>IF(N20="D","D","-")</f>
        <v>D</v>
      </c>
      <c r="H10" s="52" t="str">
        <f>IF(Q20="D","D","-")</f>
        <v>D</v>
      </c>
      <c r="I10" s="52" t="str">
        <f>IF(T20="D","D","-")</f>
        <v>D</v>
      </c>
      <c r="J10" s="32"/>
      <c r="K10" s="66" t="s">
        <v>230</v>
      </c>
      <c r="L10" s="50" t="s">
        <v>231</v>
      </c>
      <c r="M10" s="75">
        <v>2</v>
      </c>
      <c r="N10" s="50" t="s">
        <v>232</v>
      </c>
      <c r="O10" s="53"/>
      <c r="P10" s="50" t="s">
        <v>233</v>
      </c>
      <c r="Q10" s="92"/>
      <c r="R10" s="50" t="s">
        <v>235</v>
      </c>
      <c r="S10" s="92"/>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1.7000000000000001E-2</v>
      </c>
      <c r="F12" s="268">
        <f>IF($L$24&lt;&gt;"",IF($L$24=3,3,IF($L$24=2,2,1)),"")</f>
        <v>3</v>
      </c>
      <c r="G12" s="268">
        <f>IF($O$24&lt;&gt;"",IF($O$24=3,3,IF($O$24=2,2,1)),"")</f>
        <v>3</v>
      </c>
      <c r="H12" s="268">
        <f>IF($R$24&lt;&gt;"",IF($R$24=3,3,IF($R$24=2,2,1)),"")</f>
        <v>3</v>
      </c>
      <c r="I12" s="268">
        <f>IF($U$24&lt;&gt;"",IF($U$24=3,3,IF($U$24=2,2,1)),"")</f>
        <v>1</v>
      </c>
      <c r="J12" s="32"/>
      <c r="K12" s="300" t="s">
        <v>240</v>
      </c>
      <c r="L12" s="274"/>
      <c r="M12" s="280" t="s">
        <v>321</v>
      </c>
      <c r="N12" s="299"/>
      <c r="O12" s="300" t="s">
        <v>240</v>
      </c>
      <c r="P12" s="274"/>
      <c r="Q12" s="280" t="s">
        <v>303</v>
      </c>
      <c r="R12" s="299"/>
      <c r="S12" s="274" t="s">
        <v>240</v>
      </c>
      <c r="T12" s="274"/>
      <c r="U12" s="305" t="s">
        <v>303</v>
      </c>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390</v>
      </c>
      <c r="O14" s="266" t="s">
        <v>247</v>
      </c>
      <c r="P14" s="286"/>
      <c r="Q14" s="286"/>
      <c r="R14" s="265" t="s">
        <v>390</v>
      </c>
      <c r="S14" s="264" t="s">
        <v>247</v>
      </c>
      <c r="T14" s="286"/>
      <c r="U14" s="286"/>
      <c r="V14" s="264" t="s">
        <v>275</v>
      </c>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No Planificado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619</v>
      </c>
      <c r="L18" s="264"/>
      <c r="M18" s="265"/>
      <c r="N18" s="266" t="s">
        <v>620</v>
      </c>
      <c r="O18" s="264"/>
      <c r="P18" s="265"/>
      <c r="Q18" s="266" t="s">
        <v>621</v>
      </c>
      <c r="R18" s="264"/>
      <c r="S18" s="265"/>
      <c r="T18" s="266" t="s">
        <v>622</v>
      </c>
      <c r="U18" s="264"/>
      <c r="V18" s="265"/>
      <c r="W18" s="9"/>
      <c r="X18" s="9"/>
      <c r="Y18" s="23"/>
    </row>
    <row r="19" spans="1:25" ht="141.75" customHeight="1" outlineLevel="2" x14ac:dyDescent="0.3">
      <c r="A19" s="1"/>
      <c r="B19" s="283"/>
      <c r="C19" s="283"/>
      <c r="D19" s="42" t="s">
        <v>257</v>
      </c>
      <c r="E19" s="307" t="s">
        <v>623</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118</v>
      </c>
      <c r="F20" s="288"/>
      <c r="G20" s="288"/>
      <c r="H20" s="288"/>
      <c r="I20" s="288"/>
      <c r="J20" s="25"/>
      <c r="K20" s="266"/>
      <c r="L20" s="264"/>
      <c r="M20" s="265"/>
      <c r="N20" s="266" t="s">
        <v>260</v>
      </c>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441</v>
      </c>
      <c r="L21" s="264"/>
      <c r="M21" s="265"/>
      <c r="N21" s="266" t="s">
        <v>624</v>
      </c>
      <c r="O21" s="264"/>
      <c r="P21" s="265"/>
      <c r="Q21" s="266" t="s">
        <v>625</v>
      </c>
      <c r="R21" s="264"/>
      <c r="S21" s="265"/>
      <c r="T21" s="266" t="s">
        <v>522</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3</v>
      </c>
      <c r="O24" s="40">
        <v>3</v>
      </c>
      <c r="P24" s="289"/>
      <c r="Q24" s="56">
        <v>1</v>
      </c>
      <c r="R24" s="40">
        <v>3</v>
      </c>
      <c r="S24" s="289"/>
      <c r="T24" s="56">
        <v>1</v>
      </c>
      <c r="U24" s="40">
        <v>1</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45" t="s">
        <v>626</v>
      </c>
      <c r="L26" s="45" t="s">
        <v>627</v>
      </c>
      <c r="M26" s="289"/>
      <c r="N26" s="58" t="s">
        <v>628</v>
      </c>
      <c r="O26" s="45" t="s">
        <v>1150</v>
      </c>
      <c r="P26" s="289"/>
      <c r="Q26" s="58" t="s">
        <v>629</v>
      </c>
      <c r="R26" s="45" t="s">
        <v>1151</v>
      </c>
      <c r="S26" s="289"/>
      <c r="T26" s="58" t="s">
        <v>630</v>
      </c>
      <c r="U26" s="45" t="s">
        <v>1203</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623" priority="2" operator="containsText" text="Finalizado">
      <formula>NOT(ISERROR(SEARCH("Finalizado",D15)))</formula>
    </cfRule>
    <cfRule type="containsText" dxfId="622" priority="3" operator="containsText" text="No Planificado">
      <formula>NOT(ISERROR(SEARCH("No Planificado",D15)))</formula>
    </cfRule>
    <cfRule type="containsText" dxfId="621" priority="4" operator="containsText" text="A Tiempo">
      <formula>NOT(ISERROR(SEARCH("A Tiempo",D15)))</formula>
    </cfRule>
    <cfRule type="containsText" dxfId="620"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619" priority="20" operator="containsText" text="PENDIENTE">
      <formula>NOT(ISERROR(SEARCH("PENDIENTE",K25)))</formula>
    </cfRule>
    <cfRule type="containsText" dxfId="618" priority="21" operator="containsText" text="NO VALIDADO">
      <formula>NOT(ISERROR(SEARCH("NO VALIDADO",K25)))</formula>
    </cfRule>
    <cfRule type="containsText" dxfId="617" priority="22" operator="containsText" text="VALIDADO">
      <formula>NOT(ISERROR(SEARCH("VALIDADO",K25)))</formula>
    </cfRule>
  </conditionalFormatting>
  <conditionalFormatting sqref="N25:O25">
    <cfRule type="containsText" dxfId="616" priority="17" operator="containsText" text="PENDIENTE">
      <formula>NOT(ISERROR(SEARCH("PENDIENTE",N25)))</formula>
    </cfRule>
    <cfRule type="containsText" dxfId="615" priority="18" operator="containsText" text="NO VALIDADO">
      <formula>NOT(ISERROR(SEARCH("NO VALIDADO",N25)))</formula>
    </cfRule>
    <cfRule type="containsText" dxfId="614" priority="19" operator="containsText" text="VALIDADO">
      <formula>NOT(ISERROR(SEARCH("VALIDADO",N25)))</formula>
    </cfRule>
  </conditionalFormatting>
  <conditionalFormatting sqref="Q25:R25">
    <cfRule type="containsText" dxfId="613" priority="14" operator="containsText" text="PENDIENTE">
      <formula>NOT(ISERROR(SEARCH("PENDIENTE",Q25)))</formula>
    </cfRule>
    <cfRule type="containsText" dxfId="612" priority="15" operator="containsText" text="NO VALIDADO">
      <formula>NOT(ISERROR(SEARCH("NO VALIDADO",Q25)))</formula>
    </cfRule>
    <cfRule type="containsText" dxfId="611" priority="16" operator="containsText" text="VALIDADO">
      <formula>NOT(ISERROR(SEARCH("VALIDADO",Q25)))</formula>
    </cfRule>
  </conditionalFormatting>
  <conditionalFormatting sqref="T25:U25">
    <cfRule type="containsText" dxfId="610" priority="11" operator="containsText" text="PENDIENTE">
      <formula>NOT(ISERROR(SEARCH("PENDIENTE",T25)))</formula>
    </cfRule>
    <cfRule type="containsText" dxfId="609" priority="12" operator="containsText" text="NO VALIDADO">
      <formula>NOT(ISERROR(SEARCH("NO VALIDADO",T25)))</formula>
    </cfRule>
    <cfRule type="containsText" dxfId="608" priority="13" operator="containsText" text="VALIDADO">
      <formula>NOT(ISERROR(SEARCH("VALIDADO",T25)))</formula>
    </cfRule>
  </conditionalFormatting>
  <dataValidations count="6">
    <dataValidation type="list" allowBlank="1" showInputMessage="1" showErrorMessage="1" sqref="D10" xr:uid="{6B90A650-7AA2-4539-811F-9B976AD5622D}">
      <formula1>"No Cumple, Parcial,Cumple,Más que Cumple,Mejor Práctica"</formula1>
    </dataValidation>
    <dataValidation type="list" allowBlank="1" showInputMessage="1" showErrorMessage="1" sqref="S10 Q10" xr:uid="{3AD5F27A-319E-4D6E-AE93-52950BF6B656}">
      <formula1>"Junio,Julio,Agosto,Septiembre,Octubre"</formula1>
    </dataValidation>
    <dataValidation type="list" allowBlank="1" showInputMessage="1" showErrorMessage="1" sqref="O10" xr:uid="{1A8C92E7-A399-4991-907C-D379C23546B1}">
      <formula1>"Alta,Baja,No Planificado"</formula1>
    </dataValidation>
    <dataValidation type="list" allowBlank="1" showInputMessage="1" showErrorMessage="1" sqref="AB14:AB15 R14:R15 N14:N15 V14:V15" xr:uid="{F632B83B-DD00-4830-AD5C-C235178D5FDE}">
      <formula1>"No Cumple, Parcial, Cumple, Más que Cumple, Mejor Práctica"</formula1>
    </dataValidation>
    <dataValidation type="list" allowBlank="1" showInputMessage="1" showErrorMessage="1" sqref="M12 Q12 U12" xr:uid="{0F5744D4-F715-4C95-9280-FA3C13CB64AE}">
      <formula1>"Mayo,Junio,Julio,Agosto,Septiembre,Octubre"</formula1>
    </dataValidation>
    <dataValidation type="list" allowBlank="1" showInputMessage="1" showErrorMessage="1" sqref="K14:K15 O14:O15 S14:S15" xr:uid="{071D3641-7933-4D54-9B00-9AD5C0875CD4}">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3DDC79A1-8080-45C1-A2C1-6945BA5DEB49}">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F24F5-AC6E-4823-A129-634E44D5485A}">
  <sheetPr>
    <tabColor rgb="FFC00000"/>
  </sheetPr>
  <dimension ref="A1:BC80"/>
  <sheetViews>
    <sheetView showGridLines="0" zoomScale="70" zoomScaleNormal="70" workbookViewId="0">
      <selection activeCell="J10" sqref="J10"/>
    </sheetView>
  </sheetViews>
  <sheetFormatPr defaultColWidth="8.7109375" defaultRowHeight="15" outlineLevelCol="1" x14ac:dyDescent="0.25"/>
  <cols>
    <col min="1" max="1" width="13.28515625" style="194" customWidth="1"/>
    <col min="2" max="7" width="11.7109375" style="194" customWidth="1"/>
    <col min="8" max="9" width="8.7109375" style="194"/>
    <col min="10" max="10" width="13.5703125" style="194" bestFit="1" customWidth="1"/>
    <col min="11" max="11" width="17.85546875" style="194" bestFit="1" customWidth="1"/>
    <col min="12" max="12" width="4" style="194" bestFit="1" customWidth="1"/>
    <col min="13" max="13" width="22.28515625" style="194" bestFit="1" customWidth="1"/>
    <col min="14" max="14" width="23.42578125" style="194" customWidth="1"/>
    <col min="15" max="18" width="16.140625" style="194" customWidth="1"/>
    <col min="19" max="19" width="7.7109375" style="194" bestFit="1" customWidth="1"/>
    <col min="20" max="20" width="8.7109375" style="194"/>
    <col min="21" max="25" width="8.7109375" style="193" hidden="1" customWidth="1" outlineLevel="1"/>
    <col min="26" max="26" width="13.5703125" style="193" hidden="1" customWidth="1" outlineLevel="1"/>
    <col min="27" max="29" width="8.7109375" style="194" hidden="1" customWidth="1" outlineLevel="1"/>
    <col min="30" max="30" width="8.7109375" style="193" hidden="1" customWidth="1" outlineLevel="1"/>
    <col min="31" max="31" width="10.85546875" style="193" hidden="1" customWidth="1" outlineLevel="1"/>
    <col min="32" max="37" width="8.7109375" style="194" hidden="1" customWidth="1" outlineLevel="1"/>
    <col min="38" max="39" width="11.28515625" style="194" hidden="1" customWidth="1" outlineLevel="1"/>
    <col min="40" max="43" width="8.7109375" style="193" hidden="1" customWidth="1" outlineLevel="1"/>
    <col min="44" max="44" width="11.85546875" style="193" hidden="1" customWidth="1" outlineLevel="1"/>
    <col min="45" max="45" width="8.7109375" style="194" hidden="1" customWidth="1" outlineLevel="1"/>
    <col min="46" max="49" width="8.7109375" style="193" hidden="1" customWidth="1" outlineLevel="1"/>
    <col min="50" max="51" width="8.7109375" style="194" hidden="1" customWidth="1" outlineLevel="1"/>
    <col min="52" max="52" width="14.42578125" style="194" hidden="1" customWidth="1" outlineLevel="1"/>
    <col min="53" max="54" width="15.42578125" style="194" hidden="1" customWidth="1" outlineLevel="1"/>
    <col min="55" max="55" width="8.7109375" style="194" collapsed="1"/>
    <col min="56" max="16384" width="8.7109375" style="194"/>
  </cols>
  <sheetData>
    <row r="1" spans="1:54" x14ac:dyDescent="0.25">
      <c r="A1" s="190" t="s">
        <v>1111</v>
      </c>
      <c r="B1" s="191"/>
      <c r="C1" s="191"/>
      <c r="D1" s="191"/>
      <c r="E1" s="191"/>
      <c r="F1" s="191"/>
      <c r="G1" s="191"/>
      <c r="H1" s="191"/>
      <c r="I1" s="191"/>
      <c r="J1" s="191"/>
      <c r="K1" s="191"/>
      <c r="L1" s="191"/>
      <c r="M1" s="191"/>
      <c r="N1" s="191"/>
      <c r="O1" s="191"/>
      <c r="P1" s="191"/>
      <c r="Q1" s="191"/>
      <c r="R1" s="191"/>
      <c r="S1" s="191"/>
      <c r="T1" s="191"/>
      <c r="U1" s="192"/>
      <c r="V1" s="192"/>
      <c r="W1" s="192"/>
      <c r="X1" s="192"/>
      <c r="Y1" s="192"/>
    </row>
    <row r="3" spans="1:54" ht="63.75" x14ac:dyDescent="0.25">
      <c r="A3" s="195" t="s">
        <v>1112</v>
      </c>
      <c r="B3" s="195" t="s">
        <v>1113</v>
      </c>
      <c r="C3" s="195" t="s">
        <v>1114</v>
      </c>
      <c r="D3" s="195" t="s">
        <v>1115</v>
      </c>
      <c r="E3" s="195" t="s">
        <v>1116</v>
      </c>
      <c r="F3" s="195" t="s">
        <v>1117</v>
      </c>
      <c r="G3" s="195" t="s">
        <v>1118</v>
      </c>
    </row>
    <row r="4" spans="1:54" x14ac:dyDescent="0.25">
      <c r="A4" s="196" t="s">
        <v>11</v>
      </c>
      <c r="B4" s="197">
        <v>45140</v>
      </c>
      <c r="C4" s="198">
        <v>22</v>
      </c>
      <c r="D4" s="198">
        <v>22</v>
      </c>
      <c r="E4" s="199">
        <f>IF(D4="","",SUMIF(K:K,A4,AR:AR))</f>
        <v>0</v>
      </c>
      <c r="F4" s="200">
        <v>0.18325000000000002</v>
      </c>
      <c r="G4" s="201">
        <f>IF(D4="","",BB17)</f>
        <v>0.19675000000000001</v>
      </c>
    </row>
    <row r="5" spans="1:54" x14ac:dyDescent="0.25">
      <c r="A5" s="196" t="s">
        <v>116</v>
      </c>
      <c r="B5" s="197">
        <v>45183</v>
      </c>
      <c r="C5" s="198">
        <v>11</v>
      </c>
      <c r="D5" s="198">
        <v>11</v>
      </c>
      <c r="E5" s="199">
        <f t="shared" ref="E5:E9" si="0">IF(D5="","",SUMIF(K:K,A5,AR:AR))</f>
        <v>0</v>
      </c>
      <c r="F5" s="200">
        <v>4.5499999999999999E-2</v>
      </c>
      <c r="G5" s="201">
        <f t="shared" ref="G5:G9" si="1">IF(D5="","",BB18)</f>
        <v>4.5499999999999999E-2</v>
      </c>
    </row>
    <row r="6" spans="1:54" x14ac:dyDescent="0.25">
      <c r="A6" s="196" t="s">
        <v>123</v>
      </c>
      <c r="B6" s="197">
        <v>45183</v>
      </c>
      <c r="C6" s="198">
        <v>17</v>
      </c>
      <c r="D6" s="198">
        <v>15</v>
      </c>
      <c r="E6" s="199">
        <f t="shared" si="0"/>
        <v>1</v>
      </c>
      <c r="F6" s="200">
        <v>0.14425000000000002</v>
      </c>
      <c r="G6" s="201">
        <f t="shared" si="1"/>
        <v>0.1555</v>
      </c>
    </row>
    <row r="7" spans="1:54" x14ac:dyDescent="0.25">
      <c r="A7" s="196" t="s">
        <v>14</v>
      </c>
      <c r="B7" s="197">
        <v>45210</v>
      </c>
      <c r="C7" s="198">
        <v>23</v>
      </c>
      <c r="D7" s="198">
        <v>15</v>
      </c>
      <c r="E7" s="199">
        <f t="shared" si="0"/>
        <v>4</v>
      </c>
      <c r="F7" s="200">
        <v>0.17500000000000002</v>
      </c>
      <c r="G7" s="201">
        <f t="shared" si="1"/>
        <v>0.16</v>
      </c>
    </row>
    <row r="8" spans="1:54" x14ac:dyDescent="0.25">
      <c r="A8" s="196" t="s">
        <v>159</v>
      </c>
      <c r="B8" s="197">
        <v>45244</v>
      </c>
      <c r="C8" s="198">
        <v>9</v>
      </c>
      <c r="D8" s="198">
        <v>10</v>
      </c>
      <c r="E8" s="199">
        <f t="shared" si="0"/>
        <v>0</v>
      </c>
      <c r="F8" s="200">
        <v>0.14750000000000002</v>
      </c>
      <c r="G8" s="201">
        <f t="shared" si="1"/>
        <v>0.13375000000000001</v>
      </c>
    </row>
    <row r="9" spans="1:54" x14ac:dyDescent="0.25">
      <c r="A9" s="196" t="s">
        <v>16</v>
      </c>
      <c r="B9" s="197">
        <v>45244</v>
      </c>
      <c r="C9" s="198">
        <v>4</v>
      </c>
      <c r="D9" s="198">
        <v>5</v>
      </c>
      <c r="E9" s="199">
        <f t="shared" si="0"/>
        <v>0</v>
      </c>
      <c r="F9" s="200">
        <v>4.0250000000000008E-2</v>
      </c>
      <c r="G9" s="201">
        <f t="shared" si="1"/>
        <v>4.8500000000000001E-2</v>
      </c>
    </row>
    <row r="10" spans="1:54" x14ac:dyDescent="0.25">
      <c r="A10" s="202" t="s">
        <v>10</v>
      </c>
      <c r="B10" s="203"/>
      <c r="C10" s="195">
        <f>SUM(C4:C9)</f>
        <v>86</v>
      </c>
      <c r="D10" s="195">
        <f t="shared" ref="D10:E10" si="2">SUM(D4:D9)</f>
        <v>78</v>
      </c>
      <c r="E10" s="195">
        <f t="shared" si="2"/>
        <v>5</v>
      </c>
      <c r="F10" s="204">
        <f>SUM(F4:F9)</f>
        <v>0.73575000000000002</v>
      </c>
      <c r="G10" s="204">
        <f>SUM(G4:G9)</f>
        <v>0.7400000000000001</v>
      </c>
    </row>
    <row r="13" spans="1:54" x14ac:dyDescent="0.25">
      <c r="A13" s="205" t="s">
        <v>1119</v>
      </c>
      <c r="B13" s="191"/>
      <c r="C13" s="191"/>
      <c r="D13" s="191"/>
      <c r="E13" s="191"/>
      <c r="F13" s="191"/>
      <c r="G13" s="191"/>
      <c r="H13" s="191"/>
      <c r="I13" s="191"/>
      <c r="J13" s="191"/>
      <c r="K13" s="191"/>
      <c r="L13" s="191"/>
      <c r="M13" s="191"/>
      <c r="N13" s="191"/>
      <c r="O13" s="191"/>
      <c r="P13" s="191"/>
      <c r="Q13" s="191"/>
      <c r="R13" s="191"/>
      <c r="S13" s="191"/>
      <c r="T13" s="191"/>
      <c r="U13" s="192"/>
      <c r="V13" s="192"/>
      <c r="W13" s="192"/>
      <c r="X13" s="192"/>
      <c r="Y13" s="192"/>
    </row>
    <row r="15" spans="1:54" ht="14.45" customHeight="1" x14ac:dyDescent="0.25">
      <c r="V15" s="231" t="s">
        <v>1120</v>
      </c>
      <c r="W15" s="231"/>
      <c r="X15" s="231"/>
      <c r="Y15" s="231"/>
      <c r="Z15" s="231" t="s">
        <v>1121</v>
      </c>
      <c r="AA15" s="231"/>
      <c r="AB15" s="231"/>
      <c r="AC15" s="231"/>
      <c r="AD15" s="231"/>
      <c r="AG15" s="231" t="s">
        <v>1122</v>
      </c>
      <c r="AH15" s="231"/>
      <c r="AI15" s="231"/>
      <c r="AJ15" s="231"/>
      <c r="AK15" s="231"/>
      <c r="AT15" s="231" t="s">
        <v>1123</v>
      </c>
      <c r="AU15" s="231"/>
      <c r="AV15" s="231"/>
      <c r="AW15" s="231"/>
    </row>
    <row r="16" spans="1:54" ht="45" x14ac:dyDescent="0.25">
      <c r="J16" s="206" t="s">
        <v>1124</v>
      </c>
      <c r="K16" s="206" t="s">
        <v>49</v>
      </c>
      <c r="L16" s="206" t="s">
        <v>51</v>
      </c>
      <c r="M16" s="206" t="s">
        <v>74</v>
      </c>
      <c r="N16" s="206" t="s">
        <v>1125</v>
      </c>
      <c r="O16" s="207" t="s">
        <v>246</v>
      </c>
      <c r="P16" s="207" t="s">
        <v>305</v>
      </c>
      <c r="Q16" s="207" t="s">
        <v>422</v>
      </c>
      <c r="R16" s="207" t="s">
        <v>275</v>
      </c>
      <c r="S16" s="208" t="s">
        <v>53</v>
      </c>
      <c r="U16" s="193" t="s">
        <v>1126</v>
      </c>
      <c r="V16" s="209" t="s">
        <v>56</v>
      </c>
      <c r="W16" s="209" t="s">
        <v>57</v>
      </c>
      <c r="X16" s="209" t="s">
        <v>58</v>
      </c>
      <c r="Y16" s="209" t="s">
        <v>59</v>
      </c>
      <c r="Z16" s="210" t="s">
        <v>56</v>
      </c>
      <c r="AA16" s="210" t="s">
        <v>57</v>
      </c>
      <c r="AB16" s="210" t="s">
        <v>58</v>
      </c>
      <c r="AC16" s="210" t="s">
        <v>59</v>
      </c>
      <c r="AD16" s="210" t="s">
        <v>10</v>
      </c>
      <c r="AE16" s="209" t="s">
        <v>1127</v>
      </c>
      <c r="AG16" s="211" t="s">
        <v>56</v>
      </c>
      <c r="AH16" s="211" t="s">
        <v>57</v>
      </c>
      <c r="AI16" s="211" t="s">
        <v>58</v>
      </c>
      <c r="AJ16" s="211" t="s">
        <v>59</v>
      </c>
      <c r="AK16" s="211" t="s">
        <v>10</v>
      </c>
      <c r="AL16" s="209" t="s">
        <v>1128</v>
      </c>
      <c r="AN16" s="212" t="s">
        <v>56</v>
      </c>
      <c r="AO16" s="212" t="s">
        <v>57</v>
      </c>
      <c r="AP16" s="212" t="s">
        <v>58</v>
      </c>
      <c r="AQ16" s="212" t="s">
        <v>59</v>
      </c>
      <c r="AR16" s="212" t="s">
        <v>1129</v>
      </c>
      <c r="AT16" s="212" t="s">
        <v>56</v>
      </c>
      <c r="AU16" s="212" t="s">
        <v>57</v>
      </c>
      <c r="AV16" s="212" t="s">
        <v>58</v>
      </c>
      <c r="AW16" s="212" t="s">
        <v>59</v>
      </c>
      <c r="AZ16" s="213" t="s">
        <v>1112</v>
      </c>
      <c r="BA16" s="213" t="s">
        <v>1115</v>
      </c>
      <c r="BB16" s="213" t="s">
        <v>1130</v>
      </c>
    </row>
    <row r="17" spans="10:54" ht="34.5" x14ac:dyDescent="0.25">
      <c r="J17" s="214" t="s">
        <v>1131</v>
      </c>
      <c r="K17" s="215" t="s">
        <v>11</v>
      </c>
      <c r="L17" s="215" t="s">
        <v>79</v>
      </c>
      <c r="M17" s="215" t="s">
        <v>78</v>
      </c>
      <c r="N17" s="215" t="s">
        <v>80</v>
      </c>
      <c r="O17" s="215"/>
      <c r="P17" s="215"/>
      <c r="Q17" s="215"/>
      <c r="R17" s="215"/>
      <c r="S17" s="216">
        <v>0.01</v>
      </c>
      <c r="U17" s="193">
        <f>COUNTA(O17:R17)</f>
        <v>0</v>
      </c>
      <c r="V17" s="140">
        <f>IF(VLOOKUP($N17,'Resumen Items'!$E:$AP,27,0)="",VLOOKUP($N17,'Resumen Items'!$E:$AP,5,0),VLOOKUP($N17,'Resumen Items'!$E:$AP,27,0))</f>
        <v>3</v>
      </c>
      <c r="W17" s="140">
        <f>IF(VLOOKUP($N17,'Resumen Items'!$E:$AP,28,0)="",VLOOKUP($N17,'Resumen Items'!$E:$AP,6,0),VLOOKUP($N17,'Resumen Items'!$E:$AP,28,0))</f>
        <v>3</v>
      </c>
      <c r="X17" s="140">
        <f>IF(VLOOKUP($N17,'Resumen Items'!$E:$AP,29,0)="",VLOOKUP($N17,'Resumen Items'!$E:$AP,7,0),VLOOKUP($N17,'Resumen Items'!$E:$AP,29,0))</f>
        <v>3</v>
      </c>
      <c r="Y17" s="140">
        <f>IF(VLOOKUP($N17,'Resumen Items'!$E:$AP,30,0)="",VLOOKUP($N17,'Resumen Items'!$E:$AP,8,0),VLOOKUP($N17,'Resumen Items'!$E:$AP,30,0))</f>
        <v>3</v>
      </c>
      <c r="Z17" s="193">
        <f>IF(AND(O17="D",V17=3),1,0)</f>
        <v>0</v>
      </c>
      <c r="AA17" s="193">
        <f t="shared" ref="AA17:AC32" si="3">IF(AND(P17="D",W17=3),1,0)</f>
        <v>0</v>
      </c>
      <c r="AB17" s="193">
        <f t="shared" si="3"/>
        <v>0</v>
      </c>
      <c r="AC17" s="193">
        <f t="shared" si="3"/>
        <v>0</v>
      </c>
      <c r="AD17" s="193">
        <f>SUM(Z17:AC17)</f>
        <v>0</v>
      </c>
      <c r="AE17" s="189">
        <f>IF(VLOOKUP($N17,'Resumen Items'!$E:$AP,27,0)="",VLOOKUP($N17,'Resumen Items'!$E:$AP,4,0),VLOOKUP($N17,'Resumen Items'!$E:$AP,25,0))</f>
        <v>0.01</v>
      </c>
      <c r="AG17" s="217">
        <v>0</v>
      </c>
      <c r="AH17" s="217">
        <v>0</v>
      </c>
      <c r="AI17" s="217">
        <v>0</v>
      </c>
      <c r="AJ17" s="217">
        <v>0</v>
      </c>
      <c r="AK17" s="217">
        <v>0</v>
      </c>
      <c r="AL17" s="218">
        <v>0.01</v>
      </c>
      <c r="AN17" s="193">
        <f>IF(AND(AG17=1,Z17=0),1,0)</f>
        <v>0</v>
      </c>
      <c r="AO17" s="193">
        <f>IF(AND(AH17=1,AA17=0),1,0)</f>
        <v>0</v>
      </c>
      <c r="AP17" s="193">
        <f>IF(AND(AI17=1,AB17=0),1,0)</f>
        <v>0</v>
      </c>
      <c r="AQ17" s="193">
        <f>IF(AND(AJ17=1,AC17=0),1,0)</f>
        <v>0</v>
      </c>
      <c r="AR17" s="193">
        <f>SUM(,AN17:AQ17)</f>
        <v>0</v>
      </c>
      <c r="AT17" s="193" t="str">
        <f>IF(AN17=1,"Laranja",IF(AND(O17="D",V17=3),"Verde",IF(AND(O17="D",V17&lt;3),"",IF(AND(O17&lt;&gt;"D",V17=3),"Amarelo",""))))</f>
        <v>Amarelo</v>
      </c>
      <c r="AU17" s="193" t="str">
        <f t="shared" ref="AU17:AW32" si="4">IF(AO17=1,"Laranja",IF(AND(P17="D",W17=3),"Verde",IF(AND(P17="D",W17&lt;3),"",IF(AND(P17&lt;&gt;"D",W17=3),"Amarelo",""))))</f>
        <v>Amarelo</v>
      </c>
      <c r="AV17" s="193" t="str">
        <f t="shared" si="4"/>
        <v>Amarelo</v>
      </c>
      <c r="AW17" s="193" t="str">
        <f t="shared" si="4"/>
        <v>Amarelo</v>
      </c>
      <c r="AZ17" s="196" t="s">
        <v>11</v>
      </c>
      <c r="BA17" s="219">
        <f t="shared" ref="BA17:BA22" si="5">SUMIF(K:K,AZ17,AD:AD)</f>
        <v>26</v>
      </c>
      <c r="BB17" s="220">
        <f t="shared" ref="BB17:BB22" si="6">SUMIF(K:K,AZ17,AE:AE)</f>
        <v>0.19675000000000001</v>
      </c>
    </row>
    <row r="18" spans="10:54" ht="34.5" x14ac:dyDescent="0.25">
      <c r="J18" s="221" t="s">
        <v>1131</v>
      </c>
      <c r="K18" s="222" t="s">
        <v>11</v>
      </c>
      <c r="L18" s="222" t="s">
        <v>81</v>
      </c>
      <c r="M18" s="222" t="s">
        <v>78</v>
      </c>
      <c r="N18" s="222" t="s">
        <v>82</v>
      </c>
      <c r="O18" s="223"/>
      <c r="P18" s="223"/>
      <c r="Q18" s="223"/>
      <c r="R18" s="223"/>
      <c r="S18" s="224">
        <v>0.01</v>
      </c>
      <c r="U18" s="193">
        <f t="shared" ref="U18:U80" si="7">COUNTA(O18:R18)</f>
        <v>0</v>
      </c>
      <c r="V18" s="140">
        <f>IF(VLOOKUP($N18,'Resumen Items'!$E:$AP,27,0)="",VLOOKUP($N18,'Resumen Items'!$E:$AP,5,0),VLOOKUP($N18,'Resumen Items'!$E:$AP,27,0))</f>
        <v>3</v>
      </c>
      <c r="W18" s="140">
        <f>IF(VLOOKUP($N18,'Resumen Items'!$E:$AP,28,0)="",VLOOKUP($N18,'Resumen Items'!$E:$AP,6,0),VLOOKUP($N18,'Resumen Items'!$E:$AP,28,0))</f>
        <v>3</v>
      </c>
      <c r="X18" s="140">
        <f>IF(VLOOKUP($N18,'Resumen Items'!$E:$AP,29,0)="",VLOOKUP($N18,'Resumen Items'!$E:$AP,7,0),VLOOKUP($N18,'Resumen Items'!$E:$AP,29,0))</f>
        <v>3</v>
      </c>
      <c r="Y18" s="140">
        <f>IF(VLOOKUP($N18,'Resumen Items'!$E:$AP,30,0)="",VLOOKUP($N18,'Resumen Items'!$E:$AP,8,0),VLOOKUP($N18,'Resumen Items'!$E:$AP,30,0))</f>
        <v>3</v>
      </c>
      <c r="Z18" s="193">
        <f t="shared" ref="Z18:AC33" si="8">IF(AND(O18="D",V18=3),1,0)</f>
        <v>0</v>
      </c>
      <c r="AA18" s="193">
        <f t="shared" si="3"/>
        <v>0</v>
      </c>
      <c r="AB18" s="193">
        <f t="shared" si="3"/>
        <v>0</v>
      </c>
      <c r="AC18" s="193">
        <f t="shared" si="3"/>
        <v>0</v>
      </c>
      <c r="AD18" s="193">
        <f t="shared" ref="AD18:AD80" si="9">SUM(Z18:AC18)</f>
        <v>0</v>
      </c>
      <c r="AE18" s="189">
        <f>IF(VLOOKUP($N18,'Resumen Items'!$E:$AP,27,0)="",VLOOKUP($N18,'Resumen Items'!$E:$AP,4,0),VLOOKUP($N18,'Resumen Items'!$E:$AP,25,0))</f>
        <v>0.01</v>
      </c>
      <c r="AG18" s="217">
        <v>0</v>
      </c>
      <c r="AH18" s="217">
        <v>0</v>
      </c>
      <c r="AI18" s="217">
        <v>0</v>
      </c>
      <c r="AJ18" s="217">
        <v>0</v>
      </c>
      <c r="AK18" s="217">
        <v>0</v>
      </c>
      <c r="AL18" s="218">
        <v>0.01</v>
      </c>
      <c r="AM18" s="189"/>
      <c r="AN18" s="193">
        <f t="shared" ref="AN18:AQ80" si="10">IF(AND(AG18=1,Z18=0),1,0)</f>
        <v>0</v>
      </c>
      <c r="AO18" s="193">
        <f t="shared" si="10"/>
        <v>0</v>
      </c>
      <c r="AP18" s="193">
        <f t="shared" si="10"/>
        <v>0</v>
      </c>
      <c r="AQ18" s="193">
        <f t="shared" si="10"/>
        <v>0</v>
      </c>
      <c r="AR18" s="193">
        <f t="shared" ref="AR18:AR80" si="11">SUM(,AN18:AQ18)</f>
        <v>0</v>
      </c>
      <c r="AT18" s="193" t="str">
        <f t="shared" ref="AT18:AW80" si="12">IF(AN18=1,"Laranja",IF(AND(O18="D",V18=3),"Verde",IF(AND(O18="D",V18&lt;3),"",IF(AND(O18&lt;&gt;"D",V18=3),"Amarelo",""))))</f>
        <v>Amarelo</v>
      </c>
      <c r="AU18" s="193" t="str">
        <f t="shared" si="4"/>
        <v>Amarelo</v>
      </c>
      <c r="AV18" s="193" t="str">
        <f t="shared" si="4"/>
        <v>Amarelo</v>
      </c>
      <c r="AW18" s="193" t="str">
        <f t="shared" si="4"/>
        <v>Amarelo</v>
      </c>
      <c r="AZ18" s="196" t="s">
        <v>116</v>
      </c>
      <c r="BA18" s="219">
        <f t="shared" si="5"/>
        <v>11</v>
      </c>
      <c r="BB18" s="220">
        <f t="shared" si="6"/>
        <v>4.5499999999999999E-2</v>
      </c>
    </row>
    <row r="19" spans="10:54" ht="34.5" x14ac:dyDescent="0.25">
      <c r="J19" s="214" t="s">
        <v>1131</v>
      </c>
      <c r="K19" s="215" t="s">
        <v>11</v>
      </c>
      <c r="L19" s="215" t="s">
        <v>83</v>
      </c>
      <c r="M19" s="215" t="s">
        <v>78</v>
      </c>
      <c r="N19" s="215" t="s">
        <v>84</v>
      </c>
      <c r="O19" s="215"/>
      <c r="P19" s="215"/>
      <c r="Q19" s="215"/>
      <c r="R19" s="215" t="s">
        <v>260</v>
      </c>
      <c r="S19" s="216">
        <v>0.01</v>
      </c>
      <c r="U19" s="193">
        <f t="shared" si="7"/>
        <v>1</v>
      </c>
      <c r="V19" s="140">
        <f>IF(VLOOKUP($N19,'Resumen Items'!$E:$AP,27,0)="",VLOOKUP($N19,'Resumen Items'!$E:$AP,5,0),VLOOKUP($N19,'Resumen Items'!$E:$AP,27,0))</f>
        <v>3</v>
      </c>
      <c r="W19" s="140">
        <f>IF(VLOOKUP($N19,'Resumen Items'!$E:$AP,28,0)="",VLOOKUP($N19,'Resumen Items'!$E:$AP,6,0),VLOOKUP($N19,'Resumen Items'!$E:$AP,28,0))</f>
        <v>3</v>
      </c>
      <c r="X19" s="140">
        <f>IF(VLOOKUP($N19,'Resumen Items'!$E:$AP,29,0)="",VLOOKUP($N19,'Resumen Items'!$E:$AP,7,0),VLOOKUP($N19,'Resumen Items'!$E:$AP,29,0))</f>
        <v>3</v>
      </c>
      <c r="Y19" s="140" t="str">
        <f>IF(VLOOKUP($N19,'Resumen Items'!$E:$AP,30,0)="",VLOOKUP($N19,'Resumen Items'!$E:$AP,8,0),VLOOKUP($N19,'Resumen Items'!$E:$AP,30,0))</f>
        <v/>
      </c>
      <c r="Z19" s="193">
        <f t="shared" si="8"/>
        <v>0</v>
      </c>
      <c r="AA19" s="193">
        <f t="shared" si="3"/>
        <v>0</v>
      </c>
      <c r="AB19" s="193">
        <f t="shared" si="3"/>
        <v>0</v>
      </c>
      <c r="AC19" s="193">
        <f t="shared" si="3"/>
        <v>0</v>
      </c>
      <c r="AD19" s="193">
        <f t="shared" si="9"/>
        <v>0</v>
      </c>
      <c r="AE19" s="189">
        <f>IF(VLOOKUP($N19,'Resumen Items'!$E:$AP,27,0)="",VLOOKUP($N19,'Resumen Items'!$E:$AP,4,0),VLOOKUP($N19,'Resumen Items'!$E:$AP,25,0))</f>
        <v>8.5000000000000006E-3</v>
      </c>
      <c r="AG19" s="217">
        <v>0</v>
      </c>
      <c r="AH19" s="217">
        <v>0</v>
      </c>
      <c r="AI19" s="217">
        <v>0</v>
      </c>
      <c r="AJ19" s="217">
        <v>0</v>
      </c>
      <c r="AK19" s="217">
        <v>0</v>
      </c>
      <c r="AL19" s="218">
        <v>0.01</v>
      </c>
      <c r="AM19" s="189"/>
      <c r="AN19" s="193">
        <f t="shared" si="10"/>
        <v>0</v>
      </c>
      <c r="AO19" s="193">
        <f t="shared" si="10"/>
        <v>0</v>
      </c>
      <c r="AP19" s="193">
        <f t="shared" si="10"/>
        <v>0</v>
      </c>
      <c r="AQ19" s="193">
        <f t="shared" si="10"/>
        <v>0</v>
      </c>
      <c r="AR19" s="193">
        <f t="shared" si="11"/>
        <v>0</v>
      </c>
      <c r="AT19" s="193" t="str">
        <f t="shared" si="12"/>
        <v>Amarelo</v>
      </c>
      <c r="AU19" s="193" t="str">
        <f t="shared" si="4"/>
        <v>Amarelo</v>
      </c>
      <c r="AV19" s="193" t="str">
        <f t="shared" si="4"/>
        <v>Amarelo</v>
      </c>
      <c r="AW19" s="193" t="str">
        <f t="shared" si="4"/>
        <v/>
      </c>
      <c r="AZ19" s="196" t="s">
        <v>123</v>
      </c>
      <c r="BA19" s="219">
        <f t="shared" si="5"/>
        <v>18</v>
      </c>
      <c r="BB19" s="220">
        <f t="shared" si="6"/>
        <v>0.1555</v>
      </c>
    </row>
    <row r="20" spans="10:54" ht="34.5" x14ac:dyDescent="0.25">
      <c r="J20" s="221" t="s">
        <v>1131</v>
      </c>
      <c r="K20" s="222" t="s">
        <v>11</v>
      </c>
      <c r="L20" s="222" t="s">
        <v>85</v>
      </c>
      <c r="M20" s="222" t="s">
        <v>78</v>
      </c>
      <c r="N20" s="222" t="s">
        <v>86</v>
      </c>
      <c r="O20" s="223"/>
      <c r="P20" s="223" t="s">
        <v>260</v>
      </c>
      <c r="Q20" s="223"/>
      <c r="R20" s="223" t="s">
        <v>260</v>
      </c>
      <c r="S20" s="224">
        <v>0.02</v>
      </c>
      <c r="U20" s="193">
        <f t="shared" si="7"/>
        <v>2</v>
      </c>
      <c r="V20" s="140">
        <f>IF(VLOOKUP($N20,'Resumen Items'!$E:$AP,27,0)="",VLOOKUP($N20,'Resumen Items'!$E:$AP,5,0),VLOOKUP($N20,'Resumen Items'!$E:$AP,27,0))</f>
        <v>3</v>
      </c>
      <c r="W20" s="140">
        <f>IF(VLOOKUP($N20,'Resumen Items'!$E:$AP,28,0)="",VLOOKUP($N20,'Resumen Items'!$E:$AP,6,0),VLOOKUP($N20,'Resumen Items'!$E:$AP,28,0))</f>
        <v>3</v>
      </c>
      <c r="X20" s="140">
        <f>IF(VLOOKUP($N20,'Resumen Items'!$E:$AP,29,0)="",VLOOKUP($N20,'Resumen Items'!$E:$AP,7,0),VLOOKUP($N20,'Resumen Items'!$E:$AP,29,0))</f>
        <v>2</v>
      </c>
      <c r="Y20" s="140">
        <f>IF(VLOOKUP($N20,'Resumen Items'!$E:$AP,30,0)="",VLOOKUP($N20,'Resumen Items'!$E:$AP,8,0),VLOOKUP($N20,'Resumen Items'!$E:$AP,30,0))</f>
        <v>1</v>
      </c>
      <c r="Z20" s="193">
        <f t="shared" si="8"/>
        <v>0</v>
      </c>
      <c r="AA20" s="193">
        <f t="shared" si="3"/>
        <v>1</v>
      </c>
      <c r="AB20" s="193">
        <f t="shared" si="3"/>
        <v>0</v>
      </c>
      <c r="AC20" s="193">
        <f t="shared" si="3"/>
        <v>0</v>
      </c>
      <c r="AD20" s="193">
        <f t="shared" si="9"/>
        <v>1</v>
      </c>
      <c r="AE20" s="189">
        <f>IF(VLOOKUP($N20,'Resumen Items'!$E:$AP,27,0)="",VLOOKUP($N20,'Resumen Items'!$E:$AP,4,0),VLOOKUP($N20,'Resumen Items'!$E:$AP,25,0))</f>
        <v>1.3999999999999999E-2</v>
      </c>
      <c r="AG20" s="217">
        <v>0</v>
      </c>
      <c r="AH20" s="217">
        <v>1</v>
      </c>
      <c r="AI20" s="217">
        <v>0</v>
      </c>
      <c r="AJ20" s="217">
        <v>0</v>
      </c>
      <c r="AK20" s="217">
        <v>1</v>
      </c>
      <c r="AL20" s="218">
        <v>0.02</v>
      </c>
      <c r="AM20" s="189"/>
      <c r="AN20" s="193">
        <f t="shared" si="10"/>
        <v>0</v>
      </c>
      <c r="AO20" s="193">
        <f t="shared" si="10"/>
        <v>0</v>
      </c>
      <c r="AP20" s="193">
        <f t="shared" si="10"/>
        <v>0</v>
      </c>
      <c r="AQ20" s="193">
        <f t="shared" si="10"/>
        <v>0</v>
      </c>
      <c r="AR20" s="193">
        <f t="shared" si="11"/>
        <v>0</v>
      </c>
      <c r="AT20" s="193" t="str">
        <f t="shared" si="12"/>
        <v>Amarelo</v>
      </c>
      <c r="AU20" s="193" t="str">
        <f t="shared" si="4"/>
        <v>Verde</v>
      </c>
      <c r="AV20" s="193" t="str">
        <f t="shared" si="4"/>
        <v/>
      </c>
      <c r="AW20" s="193" t="str">
        <f t="shared" si="4"/>
        <v/>
      </c>
      <c r="AZ20" s="196" t="s">
        <v>14</v>
      </c>
      <c r="BA20" s="219">
        <f t="shared" si="5"/>
        <v>19</v>
      </c>
      <c r="BB20" s="220">
        <f t="shared" si="6"/>
        <v>0.16</v>
      </c>
    </row>
    <row r="21" spans="10:54" ht="34.5" x14ac:dyDescent="0.25">
      <c r="J21" s="214" t="s">
        <v>1131</v>
      </c>
      <c r="K21" s="215" t="s">
        <v>11</v>
      </c>
      <c r="L21" s="215" t="s">
        <v>88</v>
      </c>
      <c r="M21" s="215" t="s">
        <v>87</v>
      </c>
      <c r="N21" s="215" t="s">
        <v>89</v>
      </c>
      <c r="O21" s="215"/>
      <c r="P21" s="215" t="s">
        <v>260</v>
      </c>
      <c r="Q21" s="215"/>
      <c r="R21" s="215"/>
      <c r="S21" s="216">
        <v>1.4999999999999999E-2</v>
      </c>
      <c r="U21" s="193">
        <f t="shared" si="7"/>
        <v>1</v>
      </c>
      <c r="V21" s="140">
        <f>IF(VLOOKUP($N21,'Resumen Items'!$E:$AP,27,0)="",VLOOKUP($N21,'Resumen Items'!$E:$AP,5,0),VLOOKUP($N21,'Resumen Items'!$E:$AP,27,0))</f>
        <v>3</v>
      </c>
      <c r="W21" s="140">
        <f>IF(VLOOKUP($N21,'Resumen Items'!$E:$AP,28,0)="",VLOOKUP($N21,'Resumen Items'!$E:$AP,6,0),VLOOKUP($N21,'Resumen Items'!$E:$AP,28,0))</f>
        <v>3</v>
      </c>
      <c r="X21" s="140">
        <f>IF(VLOOKUP($N21,'Resumen Items'!$E:$AP,29,0)="",VLOOKUP($N21,'Resumen Items'!$E:$AP,7,0),VLOOKUP($N21,'Resumen Items'!$E:$AP,29,0))</f>
        <v>3</v>
      </c>
      <c r="Y21" s="140">
        <f>IF(VLOOKUP($N21,'Resumen Items'!$E:$AP,30,0)="",VLOOKUP($N21,'Resumen Items'!$E:$AP,8,0),VLOOKUP($N21,'Resumen Items'!$E:$AP,30,0))</f>
        <v>3</v>
      </c>
      <c r="Z21" s="193">
        <f t="shared" si="8"/>
        <v>0</v>
      </c>
      <c r="AA21" s="193">
        <f t="shared" si="3"/>
        <v>1</v>
      </c>
      <c r="AB21" s="193">
        <f t="shared" si="3"/>
        <v>0</v>
      </c>
      <c r="AC21" s="193">
        <f t="shared" si="3"/>
        <v>0</v>
      </c>
      <c r="AD21" s="193">
        <f t="shared" si="9"/>
        <v>1</v>
      </c>
      <c r="AE21" s="189">
        <f>IF(VLOOKUP($N21,'Resumen Items'!$E:$AP,27,0)="",VLOOKUP($N21,'Resumen Items'!$E:$AP,4,0),VLOOKUP($N21,'Resumen Items'!$E:$AP,25,0))</f>
        <v>1.4999999999999999E-2</v>
      </c>
      <c r="AG21" s="217">
        <v>0</v>
      </c>
      <c r="AH21" s="217">
        <v>1</v>
      </c>
      <c r="AI21" s="217">
        <v>0</v>
      </c>
      <c r="AJ21" s="217">
        <v>0</v>
      </c>
      <c r="AK21" s="217">
        <v>1</v>
      </c>
      <c r="AL21" s="218">
        <v>1.4999999999999999E-2</v>
      </c>
      <c r="AM21" s="189"/>
      <c r="AN21" s="193">
        <f t="shared" si="10"/>
        <v>0</v>
      </c>
      <c r="AO21" s="193">
        <f t="shared" si="10"/>
        <v>0</v>
      </c>
      <c r="AP21" s="193">
        <f t="shared" si="10"/>
        <v>0</v>
      </c>
      <c r="AQ21" s="193">
        <f t="shared" si="10"/>
        <v>0</v>
      </c>
      <c r="AR21" s="193">
        <f t="shared" si="11"/>
        <v>0</v>
      </c>
      <c r="AT21" s="193" t="str">
        <f t="shared" si="12"/>
        <v>Amarelo</v>
      </c>
      <c r="AU21" s="193" t="str">
        <f t="shared" si="4"/>
        <v>Verde</v>
      </c>
      <c r="AV21" s="193" t="str">
        <f t="shared" si="4"/>
        <v>Amarelo</v>
      </c>
      <c r="AW21" s="193" t="str">
        <f t="shared" si="4"/>
        <v>Amarelo</v>
      </c>
      <c r="AZ21" s="196" t="s">
        <v>159</v>
      </c>
      <c r="BA21" s="219">
        <f t="shared" si="5"/>
        <v>10</v>
      </c>
      <c r="BB21" s="220">
        <f t="shared" si="6"/>
        <v>0.13375000000000001</v>
      </c>
    </row>
    <row r="22" spans="10:54" ht="34.5" x14ac:dyDescent="0.25">
      <c r="J22" s="221" t="s">
        <v>1131</v>
      </c>
      <c r="K22" s="222" t="s">
        <v>11</v>
      </c>
      <c r="L22" s="222" t="s">
        <v>90</v>
      </c>
      <c r="M22" s="222" t="s">
        <v>87</v>
      </c>
      <c r="N22" s="222" t="s">
        <v>91</v>
      </c>
      <c r="O22" s="223" t="s">
        <v>260</v>
      </c>
      <c r="P22" s="223" t="s">
        <v>260</v>
      </c>
      <c r="Q22" s="223" t="s">
        <v>260</v>
      </c>
      <c r="R22" s="223"/>
      <c r="S22" s="224">
        <v>1.4999999999999999E-2</v>
      </c>
      <c r="U22" s="193">
        <f t="shared" si="7"/>
        <v>3</v>
      </c>
      <c r="V22" s="140">
        <f>IF(VLOOKUP($N22,'Resumen Items'!$E:$AP,27,0)="",VLOOKUP($N22,'Resumen Items'!$E:$AP,5,0),VLOOKUP($N22,'Resumen Items'!$E:$AP,27,0))</f>
        <v>3</v>
      </c>
      <c r="W22" s="140">
        <f>IF(VLOOKUP($N22,'Resumen Items'!$E:$AP,28,0)="",VLOOKUP($N22,'Resumen Items'!$E:$AP,6,0),VLOOKUP($N22,'Resumen Items'!$E:$AP,28,0))</f>
        <v>3</v>
      </c>
      <c r="X22" s="140">
        <f>IF(VLOOKUP($N22,'Resumen Items'!$E:$AP,29,0)="",VLOOKUP($N22,'Resumen Items'!$E:$AP,7,0),VLOOKUP($N22,'Resumen Items'!$E:$AP,29,0))</f>
        <v>1</v>
      </c>
      <c r="Y22" s="140" t="str">
        <f>IF(VLOOKUP($N22,'Resumen Items'!$E:$AP,30,0)="",VLOOKUP($N22,'Resumen Items'!$E:$AP,8,0),VLOOKUP($N22,'Resumen Items'!$E:$AP,30,0))</f>
        <v/>
      </c>
      <c r="Z22" s="193">
        <f t="shared" si="8"/>
        <v>1</v>
      </c>
      <c r="AA22" s="193">
        <f t="shared" si="3"/>
        <v>1</v>
      </c>
      <c r="AB22" s="193">
        <f t="shared" si="3"/>
        <v>0</v>
      </c>
      <c r="AC22" s="193">
        <f t="shared" si="3"/>
        <v>0</v>
      </c>
      <c r="AD22" s="193">
        <f t="shared" si="9"/>
        <v>2</v>
      </c>
      <c r="AE22" s="189">
        <f>IF(VLOOKUP($N22,'Resumen Items'!$E:$AP,27,0)="",VLOOKUP($N22,'Resumen Items'!$E:$AP,4,0),VLOOKUP($N22,'Resumen Items'!$E:$AP,25,0))</f>
        <v>1.0499999999999999E-2</v>
      </c>
      <c r="AG22" s="217">
        <v>1</v>
      </c>
      <c r="AH22" s="217">
        <v>1</v>
      </c>
      <c r="AI22" s="217">
        <v>0</v>
      </c>
      <c r="AJ22" s="217">
        <v>0</v>
      </c>
      <c r="AK22" s="217">
        <v>2</v>
      </c>
      <c r="AL22" s="218">
        <v>1.2749999999999999E-2</v>
      </c>
      <c r="AM22" s="189"/>
      <c r="AN22" s="193">
        <f t="shared" si="10"/>
        <v>0</v>
      </c>
      <c r="AO22" s="193">
        <f t="shared" si="10"/>
        <v>0</v>
      </c>
      <c r="AP22" s="193">
        <f t="shared" si="10"/>
        <v>0</v>
      </c>
      <c r="AQ22" s="193">
        <f t="shared" si="10"/>
        <v>0</v>
      </c>
      <c r="AR22" s="193">
        <f t="shared" si="11"/>
        <v>0</v>
      </c>
      <c r="AT22" s="193" t="str">
        <f t="shared" si="12"/>
        <v>Verde</v>
      </c>
      <c r="AU22" s="193" t="str">
        <f t="shared" si="4"/>
        <v>Verde</v>
      </c>
      <c r="AV22" s="193" t="str">
        <f t="shared" si="4"/>
        <v/>
      </c>
      <c r="AW22" s="193" t="str">
        <f t="shared" si="4"/>
        <v/>
      </c>
      <c r="AZ22" s="196" t="s">
        <v>16</v>
      </c>
      <c r="BA22" s="219">
        <f t="shared" si="5"/>
        <v>6</v>
      </c>
      <c r="BB22" s="220">
        <f t="shared" si="6"/>
        <v>4.8500000000000001E-2</v>
      </c>
    </row>
    <row r="23" spans="10:54" ht="34.5" x14ac:dyDescent="0.25">
      <c r="J23" s="214" t="s">
        <v>1131</v>
      </c>
      <c r="K23" s="215" t="s">
        <v>11</v>
      </c>
      <c r="L23" s="215" t="s">
        <v>93</v>
      </c>
      <c r="M23" s="215" t="s">
        <v>92</v>
      </c>
      <c r="N23" s="215" t="s">
        <v>94</v>
      </c>
      <c r="O23" s="215" t="s">
        <v>260</v>
      </c>
      <c r="P23" s="215"/>
      <c r="Q23" s="215" t="s">
        <v>260</v>
      </c>
      <c r="R23" s="215"/>
      <c r="S23" s="216">
        <v>0.01</v>
      </c>
      <c r="U23" s="193">
        <f t="shared" si="7"/>
        <v>2</v>
      </c>
      <c r="V23" s="140">
        <f>IF(VLOOKUP($N23,'Resumen Items'!$E:$AP,27,0)="",VLOOKUP($N23,'Resumen Items'!$E:$AP,5,0),VLOOKUP($N23,'Resumen Items'!$E:$AP,27,0))</f>
        <v>3</v>
      </c>
      <c r="W23" s="140">
        <f>IF(VLOOKUP($N23,'Resumen Items'!$E:$AP,28,0)="",VLOOKUP($N23,'Resumen Items'!$E:$AP,6,0),VLOOKUP($N23,'Resumen Items'!$E:$AP,28,0))</f>
        <v>3</v>
      </c>
      <c r="X23" s="140">
        <f>IF(VLOOKUP($N23,'Resumen Items'!$E:$AP,29,0)="",VLOOKUP($N23,'Resumen Items'!$E:$AP,7,0),VLOOKUP($N23,'Resumen Items'!$E:$AP,29,0))</f>
        <v>3</v>
      </c>
      <c r="Y23" s="140">
        <f>IF(VLOOKUP($N23,'Resumen Items'!$E:$AP,30,0)="",VLOOKUP($N23,'Resumen Items'!$E:$AP,8,0),VLOOKUP($N23,'Resumen Items'!$E:$AP,30,0))</f>
        <v>3</v>
      </c>
      <c r="Z23" s="193">
        <f t="shared" si="8"/>
        <v>1</v>
      </c>
      <c r="AA23" s="193">
        <f t="shared" si="3"/>
        <v>0</v>
      </c>
      <c r="AB23" s="193">
        <f t="shared" si="3"/>
        <v>1</v>
      </c>
      <c r="AC23" s="193">
        <f t="shared" si="3"/>
        <v>0</v>
      </c>
      <c r="AD23" s="193">
        <f t="shared" si="9"/>
        <v>2</v>
      </c>
      <c r="AE23" s="189">
        <f>IF(VLOOKUP($N23,'Resumen Items'!$E:$AP,27,0)="",VLOOKUP($N23,'Resumen Items'!$E:$AP,4,0),VLOOKUP($N23,'Resumen Items'!$E:$AP,25,0))</f>
        <v>0.01</v>
      </c>
      <c r="AG23" s="217">
        <v>1</v>
      </c>
      <c r="AH23" s="217">
        <v>0</v>
      </c>
      <c r="AI23" s="217">
        <v>0</v>
      </c>
      <c r="AJ23" s="217">
        <v>0</v>
      </c>
      <c r="AK23" s="217">
        <v>1</v>
      </c>
      <c r="AL23" s="218">
        <v>8.5000000000000006E-3</v>
      </c>
      <c r="AM23" s="189"/>
      <c r="AN23" s="193">
        <f t="shared" si="10"/>
        <v>0</v>
      </c>
      <c r="AO23" s="193">
        <f t="shared" si="10"/>
        <v>0</v>
      </c>
      <c r="AP23" s="193">
        <f t="shared" si="10"/>
        <v>0</v>
      </c>
      <c r="AQ23" s="193">
        <f t="shared" si="10"/>
        <v>0</v>
      </c>
      <c r="AR23" s="193">
        <f t="shared" si="11"/>
        <v>0</v>
      </c>
      <c r="AT23" s="193" t="str">
        <f t="shared" si="12"/>
        <v>Verde</v>
      </c>
      <c r="AU23" s="193" t="str">
        <f t="shared" si="4"/>
        <v>Amarelo</v>
      </c>
      <c r="AV23" s="193" t="str">
        <f t="shared" si="4"/>
        <v>Verde</v>
      </c>
      <c r="AW23" s="193" t="str">
        <f t="shared" si="4"/>
        <v>Amarelo</v>
      </c>
      <c r="AZ23" s="225" t="s">
        <v>10</v>
      </c>
      <c r="BA23" s="213">
        <f>SUM(BA17:BA22)</f>
        <v>90</v>
      </c>
      <c r="BB23" s="226">
        <f>SUM(BB17:BB22)</f>
        <v>0.7400000000000001</v>
      </c>
    </row>
    <row r="24" spans="10:54" ht="34.5" x14ac:dyDescent="0.25">
      <c r="J24" s="221" t="s">
        <v>1131</v>
      </c>
      <c r="K24" s="222" t="s">
        <v>11</v>
      </c>
      <c r="L24" s="222" t="s">
        <v>95</v>
      </c>
      <c r="M24" s="222" t="s">
        <v>92</v>
      </c>
      <c r="N24" s="222" t="s">
        <v>96</v>
      </c>
      <c r="O24" s="223" t="s">
        <v>260</v>
      </c>
      <c r="P24" s="223"/>
      <c r="Q24" s="223" t="s">
        <v>260</v>
      </c>
      <c r="R24" s="223" t="s">
        <v>260</v>
      </c>
      <c r="S24" s="224">
        <v>0.02</v>
      </c>
      <c r="U24" s="193">
        <f t="shared" si="7"/>
        <v>3</v>
      </c>
      <c r="V24" s="140">
        <f>IF(VLOOKUP($N24,'Resumen Items'!$E:$AP,27,0)="",VLOOKUP($N24,'Resumen Items'!$E:$AP,5,0),VLOOKUP($N24,'Resumen Items'!$E:$AP,27,0))</f>
        <v>3</v>
      </c>
      <c r="W24" s="140" t="str">
        <f>IF(VLOOKUP($N24,'Resumen Items'!$E:$AP,28,0)="",VLOOKUP($N24,'Resumen Items'!$E:$AP,6,0),VLOOKUP($N24,'Resumen Items'!$E:$AP,28,0))</f>
        <v/>
      </c>
      <c r="X24" s="140" t="str">
        <f>IF(VLOOKUP($N24,'Resumen Items'!$E:$AP,29,0)="",VLOOKUP($N24,'Resumen Items'!$E:$AP,7,0),VLOOKUP($N24,'Resumen Items'!$E:$AP,29,0))</f>
        <v/>
      </c>
      <c r="Y24" s="140" t="str">
        <f>IF(VLOOKUP($N24,'Resumen Items'!$E:$AP,30,0)="",VLOOKUP($N24,'Resumen Items'!$E:$AP,8,0),VLOOKUP($N24,'Resumen Items'!$E:$AP,30,0))</f>
        <v/>
      </c>
      <c r="Z24" s="193">
        <f t="shared" si="8"/>
        <v>1</v>
      </c>
      <c r="AA24" s="193">
        <f t="shared" si="3"/>
        <v>0</v>
      </c>
      <c r="AB24" s="193">
        <f t="shared" si="3"/>
        <v>0</v>
      </c>
      <c r="AC24" s="193">
        <f t="shared" si="3"/>
        <v>0</v>
      </c>
      <c r="AD24" s="193">
        <f t="shared" si="9"/>
        <v>1</v>
      </c>
      <c r="AE24" s="189">
        <f>IF(VLOOKUP($N24,'Resumen Items'!$E:$AP,27,0)="",VLOOKUP($N24,'Resumen Items'!$E:$AP,4,0),VLOOKUP($N24,'Resumen Items'!$E:$AP,25,0))</f>
        <v>8.0000000000000002E-3</v>
      </c>
      <c r="AG24" s="217">
        <v>1</v>
      </c>
      <c r="AH24" s="217">
        <v>0</v>
      </c>
      <c r="AI24" s="217">
        <v>0</v>
      </c>
      <c r="AJ24" s="217">
        <v>0</v>
      </c>
      <c r="AK24" s="217">
        <v>1</v>
      </c>
      <c r="AL24" s="218">
        <v>1.7000000000000001E-2</v>
      </c>
      <c r="AM24" s="189"/>
      <c r="AN24" s="193">
        <f t="shared" si="10"/>
        <v>0</v>
      </c>
      <c r="AO24" s="193">
        <f t="shared" si="10"/>
        <v>0</v>
      </c>
      <c r="AP24" s="193">
        <f t="shared" si="10"/>
        <v>0</v>
      </c>
      <c r="AQ24" s="193">
        <f t="shared" si="10"/>
        <v>0</v>
      </c>
      <c r="AR24" s="193">
        <f t="shared" si="11"/>
        <v>0</v>
      </c>
      <c r="AT24" s="193" t="str">
        <f t="shared" si="12"/>
        <v>Verde</v>
      </c>
      <c r="AU24" s="193" t="str">
        <f t="shared" si="4"/>
        <v/>
      </c>
      <c r="AV24" s="193" t="str">
        <f t="shared" si="4"/>
        <v/>
      </c>
      <c r="AW24" s="193" t="str">
        <f t="shared" si="4"/>
        <v/>
      </c>
    </row>
    <row r="25" spans="10:54" ht="75" x14ac:dyDescent="0.25">
      <c r="J25" s="214" t="s">
        <v>1131</v>
      </c>
      <c r="K25" s="215" t="s">
        <v>11</v>
      </c>
      <c r="L25" s="215" t="s">
        <v>97</v>
      </c>
      <c r="M25" s="215" t="s">
        <v>92</v>
      </c>
      <c r="N25" s="215" t="s">
        <v>98</v>
      </c>
      <c r="O25" s="215" t="s">
        <v>260</v>
      </c>
      <c r="P25" s="215" t="s">
        <v>260</v>
      </c>
      <c r="Q25" s="215" t="s">
        <v>260</v>
      </c>
      <c r="R25" s="215"/>
      <c r="S25" s="216">
        <v>2.5000000000000001E-2</v>
      </c>
      <c r="U25" s="193">
        <f t="shared" si="7"/>
        <v>3</v>
      </c>
      <c r="V25" s="140">
        <f>IF(VLOOKUP($N25,'Resumen Items'!$E:$AP,27,0)="",VLOOKUP($N25,'Resumen Items'!$E:$AP,5,0),VLOOKUP($N25,'Resumen Items'!$E:$AP,27,0))</f>
        <v>3</v>
      </c>
      <c r="W25" s="140" t="str">
        <f>IF(VLOOKUP($N25,'Resumen Items'!$E:$AP,28,0)="",VLOOKUP($N25,'Resumen Items'!$E:$AP,6,0),VLOOKUP($N25,'Resumen Items'!$E:$AP,28,0))</f>
        <v/>
      </c>
      <c r="X25" s="140" t="str">
        <f>IF(VLOOKUP($N25,'Resumen Items'!$E:$AP,29,0)="",VLOOKUP($N25,'Resumen Items'!$E:$AP,7,0),VLOOKUP($N25,'Resumen Items'!$E:$AP,29,0))</f>
        <v/>
      </c>
      <c r="Y25" s="140" t="str">
        <f>IF(VLOOKUP($N25,'Resumen Items'!$E:$AP,30,0)="",VLOOKUP($N25,'Resumen Items'!$E:$AP,8,0),VLOOKUP($N25,'Resumen Items'!$E:$AP,30,0))</f>
        <v/>
      </c>
      <c r="Z25" s="193">
        <f t="shared" si="8"/>
        <v>1</v>
      </c>
      <c r="AA25" s="193">
        <f t="shared" si="3"/>
        <v>0</v>
      </c>
      <c r="AB25" s="193">
        <f t="shared" si="3"/>
        <v>0</v>
      </c>
      <c r="AC25" s="193">
        <f t="shared" si="3"/>
        <v>0</v>
      </c>
      <c r="AD25" s="193">
        <f t="shared" si="9"/>
        <v>1</v>
      </c>
      <c r="AE25" s="189">
        <f>IF(VLOOKUP($N25,'Resumen Items'!$E:$AP,27,0)="",VLOOKUP($N25,'Resumen Items'!$E:$AP,4,0),VLOOKUP($N25,'Resumen Items'!$E:$AP,25,0))</f>
        <v>1.0000000000000002E-2</v>
      </c>
      <c r="AG25" s="217">
        <v>1</v>
      </c>
      <c r="AH25" s="217">
        <v>0</v>
      </c>
      <c r="AI25" s="217">
        <v>0</v>
      </c>
      <c r="AJ25" s="217">
        <v>0</v>
      </c>
      <c r="AK25" s="217">
        <v>1</v>
      </c>
      <c r="AL25" s="218">
        <v>2.5000000000000001E-2</v>
      </c>
      <c r="AM25" s="189"/>
      <c r="AN25" s="193">
        <f t="shared" si="10"/>
        <v>0</v>
      </c>
      <c r="AO25" s="193">
        <f t="shared" si="10"/>
        <v>0</v>
      </c>
      <c r="AP25" s="193">
        <f t="shared" si="10"/>
        <v>0</v>
      </c>
      <c r="AQ25" s="193">
        <f t="shared" si="10"/>
        <v>0</v>
      </c>
      <c r="AR25" s="193">
        <f t="shared" si="11"/>
        <v>0</v>
      </c>
      <c r="AT25" s="193" t="str">
        <f t="shared" si="12"/>
        <v>Verde</v>
      </c>
      <c r="AU25" s="193" t="str">
        <f t="shared" si="4"/>
        <v/>
      </c>
      <c r="AV25" s="193" t="str">
        <f t="shared" si="4"/>
        <v/>
      </c>
      <c r="AW25" s="193" t="str">
        <f t="shared" si="4"/>
        <v/>
      </c>
      <c r="AZ25" s="194" t="s">
        <v>1132</v>
      </c>
    </row>
    <row r="26" spans="10:54" ht="34.5" x14ac:dyDescent="0.25">
      <c r="J26" s="221" t="s">
        <v>1131</v>
      </c>
      <c r="K26" s="222" t="s">
        <v>11</v>
      </c>
      <c r="L26" s="222" t="s">
        <v>100</v>
      </c>
      <c r="M26" s="222" t="s">
        <v>99</v>
      </c>
      <c r="N26" s="222" t="s">
        <v>101</v>
      </c>
      <c r="O26" s="223" t="s">
        <v>260</v>
      </c>
      <c r="P26" s="223" t="s">
        <v>260</v>
      </c>
      <c r="Q26" s="223" t="s">
        <v>260</v>
      </c>
      <c r="R26" s="223" t="s">
        <v>260</v>
      </c>
      <c r="S26" s="224">
        <v>0.01</v>
      </c>
      <c r="U26" s="193">
        <f t="shared" si="7"/>
        <v>4</v>
      </c>
      <c r="V26" s="140">
        <f>IF(VLOOKUP($N26,'Resumen Items'!$E:$AP,27,0)="",VLOOKUP($N26,'Resumen Items'!$E:$AP,5,0),VLOOKUP($N26,'Resumen Items'!$E:$AP,27,0))</f>
        <v>3</v>
      </c>
      <c r="W26" s="140">
        <f>IF(VLOOKUP($N26,'Resumen Items'!$E:$AP,28,0)="",VLOOKUP($N26,'Resumen Items'!$E:$AP,6,0),VLOOKUP($N26,'Resumen Items'!$E:$AP,28,0))</f>
        <v>3</v>
      </c>
      <c r="X26" s="140">
        <f>IF(VLOOKUP($N26,'Resumen Items'!$E:$AP,29,0)="",VLOOKUP($N26,'Resumen Items'!$E:$AP,7,0),VLOOKUP($N26,'Resumen Items'!$E:$AP,29,0))</f>
        <v>3</v>
      </c>
      <c r="Y26" s="140">
        <f>IF(VLOOKUP($N26,'Resumen Items'!$E:$AP,30,0)="",VLOOKUP($N26,'Resumen Items'!$E:$AP,8,0),VLOOKUP($N26,'Resumen Items'!$E:$AP,30,0))</f>
        <v>3</v>
      </c>
      <c r="Z26" s="193">
        <f t="shared" si="8"/>
        <v>1</v>
      </c>
      <c r="AA26" s="193">
        <f t="shared" si="3"/>
        <v>1</v>
      </c>
      <c r="AB26" s="193">
        <f t="shared" si="3"/>
        <v>1</v>
      </c>
      <c r="AC26" s="193">
        <f t="shared" si="3"/>
        <v>1</v>
      </c>
      <c r="AD26" s="193">
        <f t="shared" si="9"/>
        <v>4</v>
      </c>
      <c r="AE26" s="189">
        <f>IF(VLOOKUP($N26,'Resumen Items'!$E:$AP,27,0)="",VLOOKUP($N26,'Resumen Items'!$E:$AP,4,0),VLOOKUP($N26,'Resumen Items'!$E:$AP,25,0))</f>
        <v>0.01</v>
      </c>
      <c r="AG26" s="217">
        <v>1</v>
      </c>
      <c r="AH26" s="217">
        <v>1</v>
      </c>
      <c r="AI26" s="217">
        <v>1</v>
      </c>
      <c r="AJ26" s="217">
        <v>0</v>
      </c>
      <c r="AK26" s="217">
        <v>3</v>
      </c>
      <c r="AL26" s="218">
        <v>0.01</v>
      </c>
      <c r="AM26" s="189"/>
      <c r="AN26" s="193">
        <f t="shared" si="10"/>
        <v>0</v>
      </c>
      <c r="AO26" s="193">
        <f t="shared" si="10"/>
        <v>0</v>
      </c>
      <c r="AP26" s="193">
        <f t="shared" si="10"/>
        <v>0</v>
      </c>
      <c r="AQ26" s="193">
        <f t="shared" si="10"/>
        <v>0</v>
      </c>
      <c r="AR26" s="193">
        <f t="shared" si="11"/>
        <v>0</v>
      </c>
      <c r="AT26" s="193" t="str">
        <f t="shared" si="12"/>
        <v>Verde</v>
      </c>
      <c r="AU26" s="193" t="str">
        <f t="shared" si="4"/>
        <v>Verde</v>
      </c>
      <c r="AV26" s="193" t="str">
        <f t="shared" si="4"/>
        <v>Verde</v>
      </c>
      <c r="AW26" s="193" t="str">
        <f t="shared" si="4"/>
        <v>Verde</v>
      </c>
    </row>
    <row r="27" spans="10:54" ht="34.5" x14ac:dyDescent="0.25">
      <c r="J27" s="214" t="s">
        <v>1131</v>
      </c>
      <c r="K27" s="215" t="s">
        <v>11</v>
      </c>
      <c r="L27" s="215" t="s">
        <v>103</v>
      </c>
      <c r="M27" s="215" t="s">
        <v>102</v>
      </c>
      <c r="N27" s="215" t="s">
        <v>104</v>
      </c>
      <c r="O27" s="215"/>
      <c r="P27" s="215" t="s">
        <v>260</v>
      </c>
      <c r="Q27" s="215"/>
      <c r="R27" s="215" t="s">
        <v>260</v>
      </c>
      <c r="S27" s="216">
        <v>0.02</v>
      </c>
      <c r="U27" s="193">
        <f t="shared" si="7"/>
        <v>2</v>
      </c>
      <c r="V27" s="140">
        <f>IF(VLOOKUP($N27,'Resumen Items'!$E:$AP,27,0)="",VLOOKUP($N27,'Resumen Items'!$E:$AP,5,0),VLOOKUP($N27,'Resumen Items'!$E:$AP,27,0))</f>
        <v>3</v>
      </c>
      <c r="W27" s="140">
        <f>IF(VLOOKUP($N27,'Resumen Items'!$E:$AP,28,0)="",VLOOKUP($N27,'Resumen Items'!$E:$AP,6,0),VLOOKUP($N27,'Resumen Items'!$E:$AP,28,0))</f>
        <v>3</v>
      </c>
      <c r="X27" s="140">
        <f>IF(VLOOKUP($N27,'Resumen Items'!$E:$AP,29,0)="",VLOOKUP($N27,'Resumen Items'!$E:$AP,7,0),VLOOKUP($N27,'Resumen Items'!$E:$AP,29,0))</f>
        <v>3</v>
      </c>
      <c r="Y27" s="140" t="str">
        <f>IF(VLOOKUP($N27,'Resumen Items'!$E:$AP,30,0)="",VLOOKUP($N27,'Resumen Items'!$E:$AP,8,0),VLOOKUP($N27,'Resumen Items'!$E:$AP,30,0))</f>
        <v/>
      </c>
      <c r="Z27" s="193">
        <f t="shared" si="8"/>
        <v>0</v>
      </c>
      <c r="AA27" s="193">
        <f t="shared" si="3"/>
        <v>1</v>
      </c>
      <c r="AB27" s="193">
        <f t="shared" si="3"/>
        <v>0</v>
      </c>
      <c r="AC27" s="193">
        <f t="shared" si="3"/>
        <v>0</v>
      </c>
      <c r="AD27" s="193">
        <f t="shared" si="9"/>
        <v>1</v>
      </c>
      <c r="AE27" s="189">
        <f>IF(VLOOKUP($N27,'Resumen Items'!$E:$AP,27,0)="",VLOOKUP($N27,'Resumen Items'!$E:$AP,4,0),VLOOKUP($N27,'Resumen Items'!$E:$AP,25,0))</f>
        <v>1.7000000000000001E-2</v>
      </c>
      <c r="AG27" s="217">
        <v>0</v>
      </c>
      <c r="AH27" s="217">
        <v>1</v>
      </c>
      <c r="AI27" s="217">
        <v>0</v>
      </c>
      <c r="AJ27" s="217">
        <v>0</v>
      </c>
      <c r="AK27" s="217">
        <v>1</v>
      </c>
      <c r="AL27" s="218">
        <v>8.0000000000000002E-3</v>
      </c>
      <c r="AM27" s="189"/>
      <c r="AN27" s="193">
        <f t="shared" si="10"/>
        <v>0</v>
      </c>
      <c r="AO27" s="193">
        <f t="shared" si="10"/>
        <v>0</v>
      </c>
      <c r="AP27" s="193">
        <f t="shared" si="10"/>
        <v>0</v>
      </c>
      <c r="AQ27" s="193">
        <f t="shared" si="10"/>
        <v>0</v>
      </c>
      <c r="AR27" s="193">
        <f t="shared" si="11"/>
        <v>0</v>
      </c>
      <c r="AT27" s="193" t="str">
        <f t="shared" si="12"/>
        <v>Amarelo</v>
      </c>
      <c r="AU27" s="193" t="str">
        <f t="shared" si="4"/>
        <v>Verde</v>
      </c>
      <c r="AV27" s="193" t="str">
        <f t="shared" si="4"/>
        <v>Amarelo</v>
      </c>
      <c r="AW27" s="193" t="str">
        <f t="shared" si="4"/>
        <v/>
      </c>
    </row>
    <row r="28" spans="10:54" ht="34.5" x14ac:dyDescent="0.25">
      <c r="J28" s="221" t="s">
        <v>1131</v>
      </c>
      <c r="K28" s="222" t="s">
        <v>11</v>
      </c>
      <c r="L28" s="222" t="s">
        <v>106</v>
      </c>
      <c r="M28" s="222" t="s">
        <v>105</v>
      </c>
      <c r="N28" s="222" t="s">
        <v>107</v>
      </c>
      <c r="O28" s="223"/>
      <c r="P28" s="223" t="s">
        <v>260</v>
      </c>
      <c r="Q28" s="223" t="s">
        <v>260</v>
      </c>
      <c r="R28" s="223" t="s">
        <v>260</v>
      </c>
      <c r="S28" s="224">
        <v>1.4999999999999999E-2</v>
      </c>
      <c r="U28" s="193">
        <f t="shared" si="7"/>
        <v>3</v>
      </c>
      <c r="V28" s="140">
        <f>IF(VLOOKUP($N28,'Resumen Items'!$E:$AP,27,0)="",VLOOKUP($N28,'Resumen Items'!$E:$AP,5,0),VLOOKUP($N28,'Resumen Items'!$E:$AP,27,0))</f>
        <v>3</v>
      </c>
      <c r="W28" s="140">
        <f>IF(VLOOKUP($N28,'Resumen Items'!$E:$AP,28,0)="",VLOOKUP($N28,'Resumen Items'!$E:$AP,6,0),VLOOKUP($N28,'Resumen Items'!$E:$AP,28,0))</f>
        <v>3</v>
      </c>
      <c r="X28" s="140">
        <f>IF(VLOOKUP($N28,'Resumen Items'!$E:$AP,29,0)="",VLOOKUP($N28,'Resumen Items'!$E:$AP,7,0),VLOOKUP($N28,'Resumen Items'!$E:$AP,29,0))</f>
        <v>3</v>
      </c>
      <c r="Y28" s="140">
        <f>IF(VLOOKUP($N28,'Resumen Items'!$E:$AP,30,0)="",VLOOKUP($N28,'Resumen Items'!$E:$AP,8,0),VLOOKUP($N28,'Resumen Items'!$E:$AP,30,0))</f>
        <v>3</v>
      </c>
      <c r="Z28" s="193">
        <f t="shared" si="8"/>
        <v>0</v>
      </c>
      <c r="AA28" s="193">
        <f t="shared" si="3"/>
        <v>1</v>
      </c>
      <c r="AB28" s="193">
        <f t="shared" si="3"/>
        <v>1</v>
      </c>
      <c r="AC28" s="193">
        <f t="shared" si="3"/>
        <v>1</v>
      </c>
      <c r="AD28" s="193">
        <f t="shared" si="9"/>
        <v>3</v>
      </c>
      <c r="AE28" s="189">
        <f>IF(VLOOKUP($N28,'Resumen Items'!$E:$AP,27,0)="",VLOOKUP($N28,'Resumen Items'!$E:$AP,4,0),VLOOKUP($N28,'Resumen Items'!$E:$AP,25,0))</f>
        <v>1.4999999999999999E-2</v>
      </c>
      <c r="AG28" s="217">
        <v>0</v>
      </c>
      <c r="AH28" s="217">
        <v>1</v>
      </c>
      <c r="AI28" s="217">
        <v>0</v>
      </c>
      <c r="AJ28" s="217">
        <v>0</v>
      </c>
      <c r="AK28" s="217">
        <v>1</v>
      </c>
      <c r="AL28" s="218">
        <v>1.4999999999999999E-2</v>
      </c>
      <c r="AM28" s="189"/>
      <c r="AN28" s="193">
        <f t="shared" si="10"/>
        <v>0</v>
      </c>
      <c r="AO28" s="193">
        <f t="shared" si="10"/>
        <v>0</v>
      </c>
      <c r="AP28" s="193">
        <f t="shared" si="10"/>
        <v>0</v>
      </c>
      <c r="AQ28" s="193">
        <f t="shared" si="10"/>
        <v>0</v>
      </c>
      <c r="AR28" s="193">
        <f t="shared" si="11"/>
        <v>0</v>
      </c>
      <c r="AT28" s="193" t="str">
        <f t="shared" si="12"/>
        <v>Amarelo</v>
      </c>
      <c r="AU28" s="193" t="str">
        <f t="shared" si="4"/>
        <v>Verde</v>
      </c>
      <c r="AV28" s="193" t="str">
        <f t="shared" si="4"/>
        <v>Verde</v>
      </c>
      <c r="AW28" s="193" t="str">
        <f t="shared" si="4"/>
        <v>Verde</v>
      </c>
    </row>
    <row r="29" spans="10:54" ht="34.5" x14ac:dyDescent="0.25">
      <c r="J29" s="214" t="s">
        <v>1131</v>
      </c>
      <c r="K29" s="215" t="s">
        <v>11</v>
      </c>
      <c r="L29" s="215" t="s">
        <v>108</v>
      </c>
      <c r="M29" s="215" t="s">
        <v>28</v>
      </c>
      <c r="N29" s="215" t="s">
        <v>109</v>
      </c>
      <c r="O29" s="215" t="s">
        <v>260</v>
      </c>
      <c r="P29" s="215" t="s">
        <v>260</v>
      </c>
      <c r="Q29" s="215" t="s">
        <v>260</v>
      </c>
      <c r="R29" s="215" t="s">
        <v>260</v>
      </c>
      <c r="S29" s="216">
        <v>2.5000000000000001E-2</v>
      </c>
      <c r="U29" s="193">
        <f t="shared" si="7"/>
        <v>4</v>
      </c>
      <c r="V29" s="140">
        <f>IF(VLOOKUP($N29,'Resumen Items'!$E:$AP,27,0)="",VLOOKUP($N29,'Resumen Items'!$E:$AP,5,0),VLOOKUP($N29,'Resumen Items'!$E:$AP,27,0))</f>
        <v>3</v>
      </c>
      <c r="W29" s="140">
        <f>IF(VLOOKUP($N29,'Resumen Items'!$E:$AP,28,0)="",VLOOKUP($N29,'Resumen Items'!$E:$AP,6,0),VLOOKUP($N29,'Resumen Items'!$E:$AP,28,0))</f>
        <v>3</v>
      </c>
      <c r="X29" s="140">
        <f>IF(VLOOKUP($N29,'Resumen Items'!$E:$AP,29,0)="",VLOOKUP($N29,'Resumen Items'!$E:$AP,7,0),VLOOKUP($N29,'Resumen Items'!$E:$AP,29,0))</f>
        <v>3</v>
      </c>
      <c r="Y29" s="140" t="str">
        <f>IF(VLOOKUP($N29,'Resumen Items'!$E:$AP,30,0)="",VLOOKUP($N29,'Resumen Items'!$E:$AP,8,0),VLOOKUP($N29,'Resumen Items'!$E:$AP,30,0))</f>
        <v/>
      </c>
      <c r="Z29" s="193">
        <f t="shared" si="8"/>
        <v>1</v>
      </c>
      <c r="AA29" s="193">
        <f t="shared" si="3"/>
        <v>1</v>
      </c>
      <c r="AB29" s="193">
        <f t="shared" si="3"/>
        <v>1</v>
      </c>
      <c r="AC29" s="193">
        <f t="shared" si="3"/>
        <v>0</v>
      </c>
      <c r="AD29" s="193">
        <f t="shared" si="9"/>
        <v>3</v>
      </c>
      <c r="AE29" s="189">
        <f>IF(VLOOKUP($N29,'Resumen Items'!$E:$AP,27,0)="",VLOOKUP($N29,'Resumen Items'!$E:$AP,4,0),VLOOKUP($N29,'Resumen Items'!$E:$AP,25,0))</f>
        <v>2.1250000000000002E-2</v>
      </c>
      <c r="AG29" s="217">
        <v>1</v>
      </c>
      <c r="AH29" s="217">
        <v>1</v>
      </c>
      <c r="AI29" s="217">
        <v>1</v>
      </c>
      <c r="AJ29" s="217">
        <v>0</v>
      </c>
      <c r="AK29" s="217">
        <v>3</v>
      </c>
      <c r="AL29" s="218">
        <v>2.5000000000000001E-2</v>
      </c>
      <c r="AM29" s="189"/>
      <c r="AN29" s="193">
        <f t="shared" si="10"/>
        <v>0</v>
      </c>
      <c r="AO29" s="193">
        <f t="shared" si="10"/>
        <v>0</v>
      </c>
      <c r="AP29" s="193">
        <f t="shared" si="10"/>
        <v>0</v>
      </c>
      <c r="AQ29" s="193">
        <f t="shared" si="10"/>
        <v>0</v>
      </c>
      <c r="AR29" s="193">
        <f t="shared" si="11"/>
        <v>0</v>
      </c>
      <c r="AT29" s="193" t="str">
        <f t="shared" si="12"/>
        <v>Verde</v>
      </c>
      <c r="AU29" s="193" t="str">
        <f t="shared" si="4"/>
        <v>Verde</v>
      </c>
      <c r="AV29" s="193" t="str">
        <f t="shared" si="4"/>
        <v>Verde</v>
      </c>
      <c r="AW29" s="193" t="str">
        <f t="shared" si="4"/>
        <v/>
      </c>
    </row>
    <row r="30" spans="10:54" ht="34.5" x14ac:dyDescent="0.25">
      <c r="J30" s="221" t="s">
        <v>1131</v>
      </c>
      <c r="K30" s="222" t="s">
        <v>11</v>
      </c>
      <c r="L30" s="222" t="s">
        <v>110</v>
      </c>
      <c r="M30" s="222" t="s">
        <v>28</v>
      </c>
      <c r="N30" s="222" t="s">
        <v>111</v>
      </c>
      <c r="O30" s="223" t="s">
        <v>260</v>
      </c>
      <c r="P30" s="223" t="s">
        <v>260</v>
      </c>
      <c r="Q30" s="223" t="s">
        <v>260</v>
      </c>
      <c r="R30" s="223"/>
      <c r="S30" s="224">
        <v>0.02</v>
      </c>
      <c r="U30" s="193">
        <f t="shared" si="7"/>
        <v>3</v>
      </c>
      <c r="V30" s="140">
        <f>IF(VLOOKUP($N30,'Resumen Items'!$E:$AP,27,0)="",VLOOKUP($N30,'Resumen Items'!$E:$AP,5,0),VLOOKUP($N30,'Resumen Items'!$E:$AP,27,0))</f>
        <v>3</v>
      </c>
      <c r="W30" s="140">
        <f>IF(VLOOKUP($N30,'Resumen Items'!$E:$AP,28,0)="",VLOOKUP($N30,'Resumen Items'!$E:$AP,6,0),VLOOKUP($N30,'Resumen Items'!$E:$AP,28,0))</f>
        <v>3</v>
      </c>
      <c r="X30" s="140">
        <f>IF(VLOOKUP($N30,'Resumen Items'!$E:$AP,29,0)="",VLOOKUP($N30,'Resumen Items'!$E:$AP,7,0),VLOOKUP($N30,'Resumen Items'!$E:$AP,29,0))</f>
        <v>3</v>
      </c>
      <c r="Y30" s="140">
        <f>IF(VLOOKUP($N30,'Resumen Items'!$E:$AP,30,0)="",VLOOKUP($N30,'Resumen Items'!$E:$AP,8,0),VLOOKUP($N30,'Resumen Items'!$E:$AP,30,0))</f>
        <v>3</v>
      </c>
      <c r="Z30" s="193">
        <f t="shared" si="8"/>
        <v>1</v>
      </c>
      <c r="AA30" s="193">
        <f t="shared" si="3"/>
        <v>1</v>
      </c>
      <c r="AB30" s="193">
        <f t="shared" si="3"/>
        <v>1</v>
      </c>
      <c r="AC30" s="193">
        <f t="shared" si="3"/>
        <v>0</v>
      </c>
      <c r="AD30" s="193">
        <f t="shared" si="9"/>
        <v>3</v>
      </c>
      <c r="AE30" s="189">
        <f>IF(VLOOKUP($N30,'Resumen Items'!$E:$AP,27,0)="",VLOOKUP($N30,'Resumen Items'!$E:$AP,4,0),VLOOKUP($N30,'Resumen Items'!$E:$AP,25,0))</f>
        <v>0.02</v>
      </c>
      <c r="AG30" s="217">
        <v>1</v>
      </c>
      <c r="AH30" s="217">
        <v>1</v>
      </c>
      <c r="AI30" s="217">
        <v>1</v>
      </c>
      <c r="AJ30" s="217">
        <v>0</v>
      </c>
      <c r="AK30" s="217">
        <v>3</v>
      </c>
      <c r="AL30" s="218">
        <v>0.02</v>
      </c>
      <c r="AM30" s="189"/>
      <c r="AN30" s="193">
        <f t="shared" si="10"/>
        <v>0</v>
      </c>
      <c r="AO30" s="193">
        <f t="shared" si="10"/>
        <v>0</v>
      </c>
      <c r="AP30" s="193">
        <f t="shared" si="10"/>
        <v>0</v>
      </c>
      <c r="AQ30" s="193">
        <f t="shared" si="10"/>
        <v>0</v>
      </c>
      <c r="AR30" s="193">
        <f t="shared" si="11"/>
        <v>0</v>
      </c>
      <c r="AT30" s="193" t="str">
        <f t="shared" si="12"/>
        <v>Verde</v>
      </c>
      <c r="AU30" s="193" t="str">
        <f t="shared" si="4"/>
        <v>Verde</v>
      </c>
      <c r="AV30" s="193" t="str">
        <f t="shared" si="4"/>
        <v>Verde</v>
      </c>
      <c r="AW30" s="193" t="str">
        <f t="shared" si="4"/>
        <v>Amarelo</v>
      </c>
    </row>
    <row r="31" spans="10:54" ht="34.5" x14ac:dyDescent="0.25">
      <c r="J31" s="214" t="s">
        <v>1131</v>
      </c>
      <c r="K31" s="215" t="s">
        <v>11</v>
      </c>
      <c r="L31" s="215" t="s">
        <v>112</v>
      </c>
      <c r="M31" s="215" t="s">
        <v>28</v>
      </c>
      <c r="N31" s="215" t="s">
        <v>113</v>
      </c>
      <c r="O31" s="215" t="s">
        <v>260</v>
      </c>
      <c r="P31" s="215" t="s">
        <v>260</v>
      </c>
      <c r="Q31" s="215" t="s">
        <v>260</v>
      </c>
      <c r="R31" s="215"/>
      <c r="S31" s="216">
        <v>1.4999999999999999E-2</v>
      </c>
      <c r="U31" s="193">
        <f t="shared" si="7"/>
        <v>3</v>
      </c>
      <c r="V31" s="140">
        <f>IF(VLOOKUP($N31,'Resumen Items'!$E:$AP,27,0)="",VLOOKUP($N31,'Resumen Items'!$E:$AP,5,0),VLOOKUP($N31,'Resumen Items'!$E:$AP,27,0))</f>
        <v>3</v>
      </c>
      <c r="W31" s="140">
        <f>IF(VLOOKUP($N31,'Resumen Items'!$E:$AP,28,0)="",VLOOKUP($N31,'Resumen Items'!$E:$AP,6,0),VLOOKUP($N31,'Resumen Items'!$E:$AP,28,0))</f>
        <v>3</v>
      </c>
      <c r="X31" s="140" t="str">
        <f>IF(VLOOKUP($N31,'Resumen Items'!$E:$AP,29,0)="",VLOOKUP($N31,'Resumen Items'!$E:$AP,7,0),VLOOKUP($N31,'Resumen Items'!$E:$AP,29,0))</f>
        <v/>
      </c>
      <c r="Y31" s="140" t="str">
        <f>IF(VLOOKUP($N31,'Resumen Items'!$E:$AP,30,0)="",VLOOKUP($N31,'Resumen Items'!$E:$AP,8,0),VLOOKUP($N31,'Resumen Items'!$E:$AP,30,0))</f>
        <v/>
      </c>
      <c r="Z31" s="193">
        <f t="shared" si="8"/>
        <v>1</v>
      </c>
      <c r="AA31" s="193">
        <f t="shared" si="3"/>
        <v>1</v>
      </c>
      <c r="AB31" s="193">
        <f t="shared" si="3"/>
        <v>0</v>
      </c>
      <c r="AC31" s="193">
        <f t="shared" si="3"/>
        <v>0</v>
      </c>
      <c r="AD31" s="193">
        <f t="shared" si="9"/>
        <v>2</v>
      </c>
      <c r="AE31" s="189">
        <f>IF(VLOOKUP($N31,'Resumen Items'!$E:$AP,27,0)="",VLOOKUP($N31,'Resumen Items'!$E:$AP,4,0),VLOOKUP($N31,'Resumen Items'!$E:$AP,25,0))</f>
        <v>1.0499999999999999E-2</v>
      </c>
      <c r="AG31" s="217">
        <v>1</v>
      </c>
      <c r="AH31" s="217">
        <v>1</v>
      </c>
      <c r="AI31" s="217">
        <v>0</v>
      </c>
      <c r="AJ31" s="217">
        <v>0</v>
      </c>
      <c r="AK31" s="217">
        <v>2</v>
      </c>
      <c r="AL31" s="218">
        <v>1.0499999999999999E-2</v>
      </c>
      <c r="AM31" s="189"/>
      <c r="AN31" s="193">
        <f t="shared" si="10"/>
        <v>0</v>
      </c>
      <c r="AO31" s="193">
        <f t="shared" si="10"/>
        <v>0</v>
      </c>
      <c r="AP31" s="193">
        <f t="shared" si="10"/>
        <v>0</v>
      </c>
      <c r="AQ31" s="193">
        <f t="shared" si="10"/>
        <v>0</v>
      </c>
      <c r="AR31" s="193">
        <f t="shared" si="11"/>
        <v>0</v>
      </c>
      <c r="AT31" s="193" t="str">
        <f t="shared" si="12"/>
        <v>Verde</v>
      </c>
      <c r="AU31" s="193" t="str">
        <f t="shared" si="4"/>
        <v>Verde</v>
      </c>
      <c r="AV31" s="193" t="str">
        <f t="shared" si="4"/>
        <v/>
      </c>
      <c r="AW31" s="193" t="str">
        <f t="shared" si="4"/>
        <v/>
      </c>
    </row>
    <row r="32" spans="10:54" ht="34.5" x14ac:dyDescent="0.25">
      <c r="J32" s="221" t="s">
        <v>1131</v>
      </c>
      <c r="K32" s="222" t="s">
        <v>11</v>
      </c>
      <c r="L32" s="222" t="s">
        <v>114</v>
      </c>
      <c r="M32" s="222" t="s">
        <v>28</v>
      </c>
      <c r="N32" s="222" t="s">
        <v>115</v>
      </c>
      <c r="O32" s="223" t="s">
        <v>260</v>
      </c>
      <c r="P32" s="223" t="s">
        <v>260</v>
      </c>
      <c r="Q32" s="223" t="s">
        <v>260</v>
      </c>
      <c r="R32" s="223" t="s">
        <v>260</v>
      </c>
      <c r="S32" s="224">
        <v>0.01</v>
      </c>
      <c r="U32" s="193">
        <f t="shared" si="7"/>
        <v>4</v>
      </c>
      <c r="V32" s="140">
        <f>IF(VLOOKUP($N32,'Resumen Items'!$E:$AP,27,0)="",VLOOKUP($N32,'Resumen Items'!$E:$AP,5,0),VLOOKUP($N32,'Resumen Items'!$E:$AP,27,0))</f>
        <v>3</v>
      </c>
      <c r="W32" s="140">
        <f>IF(VLOOKUP($N32,'Resumen Items'!$E:$AP,28,0)="",VLOOKUP($N32,'Resumen Items'!$E:$AP,6,0),VLOOKUP($N32,'Resumen Items'!$E:$AP,28,0))</f>
        <v>3</v>
      </c>
      <c r="X32" s="140" t="str">
        <f>IF(VLOOKUP($N32,'Resumen Items'!$E:$AP,29,0)="",VLOOKUP($N32,'Resumen Items'!$E:$AP,7,0),VLOOKUP($N32,'Resumen Items'!$E:$AP,29,0))</f>
        <v/>
      </c>
      <c r="Y32" s="140" t="str">
        <f>IF(VLOOKUP($N32,'Resumen Items'!$E:$AP,30,0)="",VLOOKUP($N32,'Resumen Items'!$E:$AP,8,0),VLOOKUP($N32,'Resumen Items'!$E:$AP,30,0))</f>
        <v/>
      </c>
      <c r="Z32" s="193">
        <f t="shared" si="8"/>
        <v>1</v>
      </c>
      <c r="AA32" s="193">
        <f t="shared" si="3"/>
        <v>1</v>
      </c>
      <c r="AB32" s="193">
        <f t="shared" si="3"/>
        <v>0</v>
      </c>
      <c r="AC32" s="193">
        <f t="shared" si="3"/>
        <v>0</v>
      </c>
      <c r="AD32" s="193">
        <f t="shared" si="9"/>
        <v>2</v>
      </c>
      <c r="AE32" s="189">
        <f>IF(VLOOKUP($N32,'Resumen Items'!$E:$AP,27,0)="",VLOOKUP($N32,'Resumen Items'!$E:$AP,4,0),VLOOKUP($N32,'Resumen Items'!$E:$AP,25,0))</f>
        <v>6.9999999999999993E-3</v>
      </c>
      <c r="AG32" s="217">
        <v>1</v>
      </c>
      <c r="AH32" s="217">
        <v>1</v>
      </c>
      <c r="AI32" s="217">
        <v>0</v>
      </c>
      <c r="AJ32" s="217">
        <v>0</v>
      </c>
      <c r="AK32" s="217">
        <v>2</v>
      </c>
      <c r="AL32" s="218">
        <v>8.5000000000000006E-3</v>
      </c>
      <c r="AM32" s="189"/>
      <c r="AN32" s="193">
        <f t="shared" si="10"/>
        <v>0</v>
      </c>
      <c r="AO32" s="193">
        <f t="shared" si="10"/>
        <v>0</v>
      </c>
      <c r="AP32" s="193">
        <f t="shared" si="10"/>
        <v>0</v>
      </c>
      <c r="AQ32" s="193">
        <f t="shared" si="10"/>
        <v>0</v>
      </c>
      <c r="AR32" s="193">
        <f t="shared" si="11"/>
        <v>0</v>
      </c>
      <c r="AT32" s="193" t="str">
        <f t="shared" si="12"/>
        <v>Verde</v>
      </c>
      <c r="AU32" s="193" t="str">
        <f t="shared" si="4"/>
        <v>Verde</v>
      </c>
      <c r="AV32" s="193" t="str">
        <f t="shared" si="4"/>
        <v/>
      </c>
      <c r="AW32" s="193" t="str">
        <f t="shared" si="4"/>
        <v/>
      </c>
    </row>
    <row r="33" spans="10:49" ht="34.5" x14ac:dyDescent="0.25">
      <c r="J33" s="214" t="s">
        <v>1131</v>
      </c>
      <c r="K33" s="215" t="s">
        <v>116</v>
      </c>
      <c r="L33" s="215" t="s">
        <v>79</v>
      </c>
      <c r="M33" s="215" t="s">
        <v>87</v>
      </c>
      <c r="N33" s="215" t="s">
        <v>117</v>
      </c>
      <c r="O33" s="215" t="s">
        <v>260</v>
      </c>
      <c r="P33" s="215" t="s">
        <v>260</v>
      </c>
      <c r="Q33" s="215" t="s">
        <v>260</v>
      </c>
      <c r="R33" s="215"/>
      <c r="S33" s="216">
        <v>1.4999999999999999E-2</v>
      </c>
      <c r="U33" s="193">
        <f t="shared" si="7"/>
        <v>3</v>
      </c>
      <c r="V33" s="140">
        <f>IF(VLOOKUP($N33,'Resumen Items'!$E:$AP,27,0)="",VLOOKUP($N33,'Resumen Items'!$E:$AP,5,0),VLOOKUP($N33,'Resumen Items'!$E:$AP,27,0))</f>
        <v>3</v>
      </c>
      <c r="W33" s="140">
        <f>IF(VLOOKUP($N33,'Resumen Items'!$E:$AP,28,0)="",VLOOKUP($N33,'Resumen Items'!$E:$AP,6,0),VLOOKUP($N33,'Resumen Items'!$E:$AP,28,0))</f>
        <v>3</v>
      </c>
      <c r="X33" s="140">
        <f>IF(VLOOKUP($N33,'Resumen Items'!$E:$AP,29,0)="",VLOOKUP($N33,'Resumen Items'!$E:$AP,7,0),VLOOKUP($N33,'Resumen Items'!$E:$AP,29,0))</f>
        <v>3</v>
      </c>
      <c r="Y33" s="140">
        <f>IF(VLOOKUP($N33,'Resumen Items'!$E:$AP,30,0)="",VLOOKUP($N33,'Resumen Items'!$E:$AP,8,0),VLOOKUP($N33,'Resumen Items'!$E:$AP,30,0))</f>
        <v>3</v>
      </c>
      <c r="Z33" s="193">
        <f t="shared" si="8"/>
        <v>1</v>
      </c>
      <c r="AA33" s="193">
        <f t="shared" si="8"/>
        <v>1</v>
      </c>
      <c r="AB33" s="193">
        <f t="shared" si="8"/>
        <v>1</v>
      </c>
      <c r="AC33" s="193">
        <f t="shared" si="8"/>
        <v>0</v>
      </c>
      <c r="AD33" s="193">
        <f t="shared" si="9"/>
        <v>3</v>
      </c>
      <c r="AE33" s="189">
        <f>IF(VLOOKUP($N33,'Resumen Items'!$E:$AP,27,0)="",VLOOKUP($N33,'Resumen Items'!$E:$AP,4,0),VLOOKUP($N33,'Resumen Items'!$E:$AP,25,0))</f>
        <v>1.4999999999999999E-2</v>
      </c>
      <c r="AG33" s="217">
        <v>1</v>
      </c>
      <c r="AH33" s="217">
        <v>1</v>
      </c>
      <c r="AI33" s="217">
        <v>1</v>
      </c>
      <c r="AJ33" s="217">
        <v>0</v>
      </c>
      <c r="AK33" s="217">
        <v>3</v>
      </c>
      <c r="AL33" s="218">
        <v>1.4999999999999999E-2</v>
      </c>
      <c r="AM33" s="189"/>
      <c r="AN33" s="193">
        <f t="shared" si="10"/>
        <v>0</v>
      </c>
      <c r="AO33" s="193">
        <f t="shared" si="10"/>
        <v>0</v>
      </c>
      <c r="AP33" s="193">
        <f t="shared" si="10"/>
        <v>0</v>
      </c>
      <c r="AQ33" s="193">
        <f t="shared" si="10"/>
        <v>0</v>
      </c>
      <c r="AR33" s="193">
        <f t="shared" si="11"/>
        <v>0</v>
      </c>
      <c r="AT33" s="193" t="str">
        <f t="shared" si="12"/>
        <v>Verde</v>
      </c>
      <c r="AU33" s="193" t="str">
        <f t="shared" si="12"/>
        <v>Verde</v>
      </c>
      <c r="AV33" s="193" t="str">
        <f t="shared" si="12"/>
        <v>Verde</v>
      </c>
      <c r="AW33" s="193" t="str">
        <f t="shared" si="12"/>
        <v>Amarelo</v>
      </c>
    </row>
    <row r="34" spans="10:49" ht="69" x14ac:dyDescent="0.25">
      <c r="J34" s="221" t="s">
        <v>1131</v>
      </c>
      <c r="K34" s="222" t="s">
        <v>116</v>
      </c>
      <c r="L34" s="222" t="s">
        <v>81</v>
      </c>
      <c r="M34" s="222" t="s">
        <v>118</v>
      </c>
      <c r="N34" s="222" t="s">
        <v>119</v>
      </c>
      <c r="O34" s="223" t="s">
        <v>260</v>
      </c>
      <c r="P34" s="223"/>
      <c r="Q34" s="223" t="s">
        <v>260</v>
      </c>
      <c r="R34" s="223" t="s">
        <v>260</v>
      </c>
      <c r="S34" s="224">
        <v>0.01</v>
      </c>
      <c r="U34" s="193">
        <f t="shared" si="7"/>
        <v>3</v>
      </c>
      <c r="V34" s="140">
        <f>IF(VLOOKUP($N34,'Resumen Items'!$E:$AP,27,0)="",VLOOKUP($N34,'Resumen Items'!$E:$AP,5,0),VLOOKUP($N34,'Resumen Items'!$E:$AP,27,0))</f>
        <v>3</v>
      </c>
      <c r="W34" s="140">
        <f>IF(VLOOKUP($N34,'Resumen Items'!$E:$AP,28,0)="",VLOOKUP($N34,'Resumen Items'!$E:$AP,6,0),VLOOKUP($N34,'Resumen Items'!$E:$AP,28,0))</f>
        <v>3</v>
      </c>
      <c r="X34" s="140">
        <f>IF(VLOOKUP($N34,'Resumen Items'!$E:$AP,29,0)="",VLOOKUP($N34,'Resumen Items'!$E:$AP,7,0),VLOOKUP($N34,'Resumen Items'!$E:$AP,29,0))</f>
        <v>1</v>
      </c>
      <c r="Y34" s="140">
        <f>IF(VLOOKUP($N34,'Resumen Items'!$E:$AP,30,0)="",VLOOKUP($N34,'Resumen Items'!$E:$AP,8,0),VLOOKUP($N34,'Resumen Items'!$E:$AP,30,0))</f>
        <v>1</v>
      </c>
      <c r="Z34" s="193">
        <f t="shared" ref="Z34:AC80" si="13">IF(AND(O34="D",V34=3),1,0)</f>
        <v>1</v>
      </c>
      <c r="AA34" s="193">
        <f t="shared" si="13"/>
        <v>0</v>
      </c>
      <c r="AB34" s="193">
        <f t="shared" si="13"/>
        <v>0</v>
      </c>
      <c r="AC34" s="193">
        <f t="shared" si="13"/>
        <v>0</v>
      </c>
      <c r="AD34" s="193">
        <f t="shared" si="9"/>
        <v>1</v>
      </c>
      <c r="AE34" s="189">
        <f>IF(VLOOKUP($N34,'Resumen Items'!$E:$AP,27,0)="",VLOOKUP($N34,'Resumen Items'!$E:$AP,4,0),VLOOKUP($N34,'Resumen Items'!$E:$AP,25,0))</f>
        <v>6.9999999999999993E-3</v>
      </c>
      <c r="AG34" s="217">
        <v>1</v>
      </c>
      <c r="AH34" s="217">
        <v>0</v>
      </c>
      <c r="AI34" s="217">
        <v>0</v>
      </c>
      <c r="AJ34" s="217">
        <v>0</v>
      </c>
      <c r="AK34" s="217">
        <v>1</v>
      </c>
      <c r="AL34" s="218">
        <v>0.01</v>
      </c>
      <c r="AM34" s="189"/>
      <c r="AN34" s="193">
        <f t="shared" si="10"/>
        <v>0</v>
      </c>
      <c r="AO34" s="193">
        <f t="shared" si="10"/>
        <v>0</v>
      </c>
      <c r="AP34" s="193">
        <f t="shared" si="10"/>
        <v>0</v>
      </c>
      <c r="AQ34" s="193">
        <f t="shared" si="10"/>
        <v>0</v>
      </c>
      <c r="AR34" s="193">
        <f t="shared" si="11"/>
        <v>0</v>
      </c>
      <c r="AT34" s="193" t="str">
        <f t="shared" si="12"/>
        <v>Verde</v>
      </c>
      <c r="AU34" s="193" t="str">
        <f t="shared" si="12"/>
        <v>Amarelo</v>
      </c>
      <c r="AV34" s="193" t="str">
        <f t="shared" si="12"/>
        <v/>
      </c>
      <c r="AW34" s="193" t="str">
        <f t="shared" si="12"/>
        <v/>
      </c>
    </row>
    <row r="35" spans="10:49" ht="34.5" x14ac:dyDescent="0.25">
      <c r="J35" s="214" t="s">
        <v>1131</v>
      </c>
      <c r="K35" s="215" t="s">
        <v>116</v>
      </c>
      <c r="L35" s="215" t="s">
        <v>83</v>
      </c>
      <c r="M35" s="215" t="s">
        <v>99</v>
      </c>
      <c r="N35" s="215" t="s">
        <v>120</v>
      </c>
      <c r="O35" s="215" t="s">
        <v>260</v>
      </c>
      <c r="P35" s="215" t="s">
        <v>260</v>
      </c>
      <c r="Q35" s="215" t="s">
        <v>260</v>
      </c>
      <c r="R35" s="215"/>
      <c r="S35" s="216">
        <v>0.01</v>
      </c>
      <c r="U35" s="193">
        <f t="shared" si="7"/>
        <v>3</v>
      </c>
      <c r="V35" s="140">
        <f>IF(VLOOKUP($N35,'Resumen Items'!$E:$AP,27,0)="",VLOOKUP($N35,'Resumen Items'!$E:$AP,5,0),VLOOKUP($N35,'Resumen Items'!$E:$AP,27,0))</f>
        <v>3</v>
      </c>
      <c r="W35" s="140">
        <f>IF(VLOOKUP($N35,'Resumen Items'!$E:$AP,28,0)="",VLOOKUP($N35,'Resumen Items'!$E:$AP,6,0),VLOOKUP($N35,'Resumen Items'!$E:$AP,28,0))</f>
        <v>3</v>
      </c>
      <c r="X35" s="140">
        <f>IF(VLOOKUP($N35,'Resumen Items'!$E:$AP,29,0)="",VLOOKUP($N35,'Resumen Items'!$E:$AP,7,0),VLOOKUP($N35,'Resumen Items'!$E:$AP,29,0))</f>
        <v>3</v>
      </c>
      <c r="Y35" s="140">
        <f>IF(VLOOKUP($N35,'Resumen Items'!$E:$AP,30,0)="",VLOOKUP($N35,'Resumen Items'!$E:$AP,8,0),VLOOKUP($N35,'Resumen Items'!$E:$AP,30,0))</f>
        <v>3</v>
      </c>
      <c r="Z35" s="193">
        <f t="shared" si="13"/>
        <v>1</v>
      </c>
      <c r="AA35" s="193">
        <f t="shared" si="13"/>
        <v>1</v>
      </c>
      <c r="AB35" s="193">
        <f t="shared" si="13"/>
        <v>1</v>
      </c>
      <c r="AC35" s="193">
        <f t="shared" si="13"/>
        <v>0</v>
      </c>
      <c r="AD35" s="193">
        <f t="shared" si="9"/>
        <v>3</v>
      </c>
      <c r="AE35" s="189">
        <f>IF(VLOOKUP($N35,'Resumen Items'!$E:$AP,27,0)="",VLOOKUP($N35,'Resumen Items'!$E:$AP,4,0),VLOOKUP($N35,'Resumen Items'!$E:$AP,25,0))</f>
        <v>0.01</v>
      </c>
      <c r="AG35" s="217">
        <v>1</v>
      </c>
      <c r="AH35" s="217">
        <v>1</v>
      </c>
      <c r="AI35" s="217">
        <v>1</v>
      </c>
      <c r="AJ35" s="217">
        <v>0</v>
      </c>
      <c r="AK35" s="217">
        <v>3</v>
      </c>
      <c r="AL35" s="218">
        <v>8.5000000000000006E-3</v>
      </c>
      <c r="AM35" s="189"/>
      <c r="AN35" s="193">
        <f t="shared" si="10"/>
        <v>0</v>
      </c>
      <c r="AO35" s="193">
        <f t="shared" si="10"/>
        <v>0</v>
      </c>
      <c r="AP35" s="193">
        <f t="shared" si="10"/>
        <v>0</v>
      </c>
      <c r="AQ35" s="193">
        <f t="shared" si="10"/>
        <v>0</v>
      </c>
      <c r="AR35" s="193">
        <f t="shared" si="11"/>
        <v>0</v>
      </c>
      <c r="AT35" s="193" t="str">
        <f t="shared" si="12"/>
        <v>Verde</v>
      </c>
      <c r="AU35" s="193" t="str">
        <f t="shared" si="12"/>
        <v>Verde</v>
      </c>
      <c r="AV35" s="193" t="str">
        <f t="shared" si="12"/>
        <v>Verde</v>
      </c>
      <c r="AW35" s="193" t="str">
        <f t="shared" si="12"/>
        <v>Amarelo</v>
      </c>
    </row>
    <row r="36" spans="10:49" ht="34.5" x14ac:dyDescent="0.25">
      <c r="J36" s="221" t="s">
        <v>1131</v>
      </c>
      <c r="K36" s="222" t="s">
        <v>116</v>
      </c>
      <c r="L36" s="222" t="s">
        <v>85</v>
      </c>
      <c r="M36" s="222" t="s">
        <v>99</v>
      </c>
      <c r="N36" s="222" t="s">
        <v>121</v>
      </c>
      <c r="O36" s="223"/>
      <c r="P36" s="223"/>
      <c r="Q36" s="223" t="s">
        <v>260</v>
      </c>
      <c r="R36" s="223"/>
      <c r="S36" s="224">
        <v>0.01</v>
      </c>
      <c r="U36" s="193">
        <f t="shared" si="7"/>
        <v>1</v>
      </c>
      <c r="V36" s="140">
        <f>IF(VLOOKUP($N36,'Resumen Items'!$E:$AP,27,0)="",VLOOKUP($N36,'Resumen Items'!$E:$AP,5,0),VLOOKUP($N36,'Resumen Items'!$E:$AP,27,0))</f>
        <v>3</v>
      </c>
      <c r="W36" s="140">
        <f>IF(VLOOKUP($N36,'Resumen Items'!$E:$AP,28,0)="",VLOOKUP($N36,'Resumen Items'!$E:$AP,6,0),VLOOKUP($N36,'Resumen Items'!$E:$AP,28,0))</f>
        <v>3</v>
      </c>
      <c r="X36" s="140">
        <f>IF(VLOOKUP($N36,'Resumen Items'!$E:$AP,29,0)="",VLOOKUP($N36,'Resumen Items'!$E:$AP,7,0),VLOOKUP($N36,'Resumen Items'!$E:$AP,29,0))</f>
        <v>3</v>
      </c>
      <c r="Y36" s="140">
        <f>IF(VLOOKUP($N36,'Resumen Items'!$E:$AP,30,0)="",VLOOKUP($N36,'Resumen Items'!$E:$AP,8,0),VLOOKUP($N36,'Resumen Items'!$E:$AP,30,0))</f>
        <v>1</v>
      </c>
      <c r="Z36" s="193">
        <f t="shared" si="13"/>
        <v>0</v>
      </c>
      <c r="AA36" s="193">
        <f t="shared" si="13"/>
        <v>0</v>
      </c>
      <c r="AB36" s="193">
        <f t="shared" si="13"/>
        <v>1</v>
      </c>
      <c r="AC36" s="193">
        <f t="shared" si="13"/>
        <v>0</v>
      </c>
      <c r="AD36" s="193">
        <f t="shared" si="9"/>
        <v>1</v>
      </c>
      <c r="AE36" s="189">
        <f>IF(VLOOKUP($N36,'Resumen Items'!$E:$AP,27,0)="",VLOOKUP($N36,'Resumen Items'!$E:$AP,4,0),VLOOKUP($N36,'Resumen Items'!$E:$AP,25,0))</f>
        <v>8.5000000000000006E-3</v>
      </c>
      <c r="AG36" s="217">
        <v>0</v>
      </c>
      <c r="AH36" s="217">
        <v>0</v>
      </c>
      <c r="AI36" s="217">
        <v>1</v>
      </c>
      <c r="AJ36" s="217">
        <v>0</v>
      </c>
      <c r="AK36" s="217">
        <v>1</v>
      </c>
      <c r="AL36" s="218">
        <v>0.01</v>
      </c>
      <c r="AM36" s="189"/>
      <c r="AN36" s="193">
        <f t="shared" si="10"/>
        <v>0</v>
      </c>
      <c r="AO36" s="193">
        <f t="shared" si="10"/>
        <v>0</v>
      </c>
      <c r="AP36" s="193">
        <f t="shared" si="10"/>
        <v>0</v>
      </c>
      <c r="AQ36" s="193">
        <f t="shared" si="10"/>
        <v>0</v>
      </c>
      <c r="AR36" s="193">
        <f t="shared" si="11"/>
        <v>0</v>
      </c>
      <c r="AT36" s="193" t="str">
        <f t="shared" si="12"/>
        <v>Amarelo</v>
      </c>
      <c r="AU36" s="193" t="str">
        <f t="shared" si="12"/>
        <v>Amarelo</v>
      </c>
      <c r="AV36" s="193" t="str">
        <f t="shared" si="12"/>
        <v>Verde</v>
      </c>
      <c r="AW36" s="193" t="str">
        <f t="shared" si="12"/>
        <v/>
      </c>
    </row>
    <row r="37" spans="10:49" ht="34.5" x14ac:dyDescent="0.25">
      <c r="J37" s="214" t="s">
        <v>1131</v>
      </c>
      <c r="K37" s="215" t="s">
        <v>116</v>
      </c>
      <c r="L37" s="215" t="s">
        <v>88</v>
      </c>
      <c r="M37" s="215" t="s">
        <v>99</v>
      </c>
      <c r="N37" s="215" t="s">
        <v>122</v>
      </c>
      <c r="O37" s="215" t="s">
        <v>260</v>
      </c>
      <c r="P37" s="215" t="s">
        <v>260</v>
      </c>
      <c r="Q37" s="215" t="s">
        <v>260</v>
      </c>
      <c r="R37" s="215"/>
      <c r="S37" s="216">
        <v>5.0000000000000001E-3</v>
      </c>
      <c r="U37" s="193">
        <f t="shared" si="7"/>
        <v>3</v>
      </c>
      <c r="V37" s="140">
        <f>IF(VLOOKUP($N37,'Resumen Items'!$E:$AP,27,0)="",VLOOKUP($N37,'Resumen Items'!$E:$AP,5,0),VLOOKUP($N37,'Resumen Items'!$E:$AP,27,0))</f>
        <v>3</v>
      </c>
      <c r="W37" s="140">
        <f>IF(VLOOKUP($N37,'Resumen Items'!$E:$AP,28,0)="",VLOOKUP($N37,'Resumen Items'!$E:$AP,6,0),VLOOKUP($N37,'Resumen Items'!$E:$AP,28,0))</f>
        <v>3</v>
      </c>
      <c r="X37" s="140">
        <f>IF(VLOOKUP($N37,'Resumen Items'!$E:$AP,29,0)="",VLOOKUP($N37,'Resumen Items'!$E:$AP,7,0),VLOOKUP($N37,'Resumen Items'!$E:$AP,29,0))</f>
        <v>3</v>
      </c>
      <c r="Y37" s="140">
        <f>IF(VLOOKUP($N37,'Resumen Items'!$E:$AP,30,0)="",VLOOKUP($N37,'Resumen Items'!$E:$AP,8,0),VLOOKUP($N37,'Resumen Items'!$E:$AP,30,0))</f>
        <v>3</v>
      </c>
      <c r="Z37" s="193">
        <f t="shared" si="13"/>
        <v>1</v>
      </c>
      <c r="AA37" s="193">
        <f t="shared" si="13"/>
        <v>1</v>
      </c>
      <c r="AB37" s="193">
        <f t="shared" si="13"/>
        <v>1</v>
      </c>
      <c r="AC37" s="193">
        <f t="shared" si="13"/>
        <v>0</v>
      </c>
      <c r="AD37" s="193">
        <f t="shared" si="9"/>
        <v>3</v>
      </c>
      <c r="AE37" s="189">
        <f>IF(VLOOKUP($N37,'Resumen Items'!$E:$AP,27,0)="",VLOOKUP($N37,'Resumen Items'!$E:$AP,4,0),VLOOKUP($N37,'Resumen Items'!$E:$AP,25,0))</f>
        <v>5.0000000000000001E-3</v>
      </c>
      <c r="AG37" s="217">
        <v>1</v>
      </c>
      <c r="AH37" s="217">
        <v>1</v>
      </c>
      <c r="AI37" s="217">
        <v>1</v>
      </c>
      <c r="AJ37" s="217">
        <v>0</v>
      </c>
      <c r="AK37" s="217">
        <v>3</v>
      </c>
      <c r="AL37" s="218">
        <v>5.0000000000000001E-3</v>
      </c>
      <c r="AM37" s="189"/>
      <c r="AN37" s="193">
        <f t="shared" si="10"/>
        <v>0</v>
      </c>
      <c r="AO37" s="193">
        <f t="shared" si="10"/>
        <v>0</v>
      </c>
      <c r="AP37" s="193">
        <f t="shared" si="10"/>
        <v>0</v>
      </c>
      <c r="AQ37" s="193">
        <f t="shared" si="10"/>
        <v>0</v>
      </c>
      <c r="AR37" s="193">
        <f t="shared" si="11"/>
        <v>0</v>
      </c>
      <c r="AT37" s="193" t="str">
        <f t="shared" si="12"/>
        <v>Verde</v>
      </c>
      <c r="AU37" s="193" t="str">
        <f t="shared" si="12"/>
        <v>Verde</v>
      </c>
      <c r="AV37" s="193" t="str">
        <f t="shared" si="12"/>
        <v>Verde</v>
      </c>
      <c r="AW37" s="193" t="str">
        <f t="shared" si="12"/>
        <v>Amarelo</v>
      </c>
    </row>
    <row r="38" spans="10:49" ht="51.75" x14ac:dyDescent="0.25">
      <c r="J38" s="221" t="s">
        <v>1131</v>
      </c>
      <c r="K38" s="222" t="s">
        <v>123</v>
      </c>
      <c r="L38" s="222" t="s">
        <v>79</v>
      </c>
      <c r="M38" s="222" t="s">
        <v>124</v>
      </c>
      <c r="N38" s="222" t="s">
        <v>125</v>
      </c>
      <c r="O38" s="223"/>
      <c r="P38" s="223"/>
      <c r="Q38" s="223" t="s">
        <v>260</v>
      </c>
      <c r="R38" s="223" t="s">
        <v>260</v>
      </c>
      <c r="S38" s="224">
        <v>1.4999999999999999E-2</v>
      </c>
      <c r="U38" s="193">
        <f t="shared" si="7"/>
        <v>2</v>
      </c>
      <c r="V38" s="140">
        <f>IF(VLOOKUP($N38,'Resumen Items'!$E:$AP,27,0)="",VLOOKUP($N38,'Resumen Items'!$E:$AP,5,0),VLOOKUP($N38,'Resumen Items'!$E:$AP,27,0))</f>
        <v>3</v>
      </c>
      <c r="W38" s="140">
        <f>IF(VLOOKUP($N38,'Resumen Items'!$E:$AP,28,0)="",VLOOKUP($N38,'Resumen Items'!$E:$AP,6,0),VLOOKUP($N38,'Resumen Items'!$E:$AP,28,0))</f>
        <v>3</v>
      </c>
      <c r="X38" s="140">
        <f>IF(VLOOKUP($N38,'Resumen Items'!$E:$AP,29,0)="",VLOOKUP($N38,'Resumen Items'!$E:$AP,7,0),VLOOKUP($N38,'Resumen Items'!$E:$AP,29,0))</f>
        <v>3</v>
      </c>
      <c r="Y38" s="140" t="str">
        <f>IF(VLOOKUP($N38,'Resumen Items'!$E:$AP,30,0)="",VLOOKUP($N38,'Resumen Items'!$E:$AP,8,0),VLOOKUP($N38,'Resumen Items'!$E:$AP,30,0))</f>
        <v/>
      </c>
      <c r="Z38" s="193">
        <f t="shared" si="13"/>
        <v>0</v>
      </c>
      <c r="AA38" s="193">
        <f t="shared" si="13"/>
        <v>0</v>
      </c>
      <c r="AB38" s="193">
        <f t="shared" si="13"/>
        <v>1</v>
      </c>
      <c r="AC38" s="193">
        <f t="shared" si="13"/>
        <v>0</v>
      </c>
      <c r="AD38" s="193">
        <f t="shared" si="9"/>
        <v>1</v>
      </c>
      <c r="AE38" s="189">
        <f>IF(VLOOKUP($N38,'Resumen Items'!$E:$AP,27,0)="",VLOOKUP($N38,'Resumen Items'!$E:$AP,4,0),VLOOKUP($N38,'Resumen Items'!$E:$AP,25,0))</f>
        <v>1.2749999999999999E-2</v>
      </c>
      <c r="AG38" s="217">
        <v>0</v>
      </c>
      <c r="AH38" s="217">
        <v>0</v>
      </c>
      <c r="AI38" s="217">
        <v>1</v>
      </c>
      <c r="AJ38" s="217">
        <v>0</v>
      </c>
      <c r="AK38" s="217">
        <v>1</v>
      </c>
      <c r="AL38" s="218">
        <v>1.4999999999999999E-2</v>
      </c>
      <c r="AM38" s="189"/>
      <c r="AN38" s="193">
        <f t="shared" si="10"/>
        <v>0</v>
      </c>
      <c r="AO38" s="193">
        <f t="shared" si="10"/>
        <v>0</v>
      </c>
      <c r="AP38" s="193">
        <f t="shared" si="10"/>
        <v>0</v>
      </c>
      <c r="AQ38" s="193">
        <f t="shared" si="10"/>
        <v>0</v>
      </c>
      <c r="AR38" s="193">
        <f t="shared" si="11"/>
        <v>0</v>
      </c>
      <c r="AT38" s="193" t="str">
        <f t="shared" si="12"/>
        <v>Amarelo</v>
      </c>
      <c r="AU38" s="193" t="str">
        <f t="shared" si="12"/>
        <v>Amarelo</v>
      </c>
      <c r="AV38" s="193" t="str">
        <f t="shared" si="12"/>
        <v>Verde</v>
      </c>
      <c r="AW38" s="193" t="str">
        <f t="shared" si="12"/>
        <v/>
      </c>
    </row>
    <row r="39" spans="10:49" ht="34.5" x14ac:dyDescent="0.25">
      <c r="J39" s="214" t="s">
        <v>1131</v>
      </c>
      <c r="K39" s="215" t="s">
        <v>123</v>
      </c>
      <c r="L39" s="215" t="s">
        <v>81</v>
      </c>
      <c r="M39" s="215" t="s">
        <v>124</v>
      </c>
      <c r="N39" s="215" t="s">
        <v>126</v>
      </c>
      <c r="O39" s="215"/>
      <c r="P39" s="215"/>
      <c r="Q39" s="215"/>
      <c r="R39" s="215"/>
      <c r="S39" s="216">
        <v>1.4999999999999999E-2</v>
      </c>
      <c r="U39" s="193">
        <f t="shared" si="7"/>
        <v>0</v>
      </c>
      <c r="V39" s="140">
        <f>IF(VLOOKUP($N39,'Resumen Items'!$E:$AP,27,0)="",VLOOKUP($N39,'Resumen Items'!$E:$AP,5,0),VLOOKUP($N39,'Resumen Items'!$E:$AP,27,0))</f>
        <v>3</v>
      </c>
      <c r="W39" s="140">
        <f>IF(VLOOKUP($N39,'Resumen Items'!$E:$AP,28,0)="",VLOOKUP($N39,'Resumen Items'!$E:$AP,6,0),VLOOKUP($N39,'Resumen Items'!$E:$AP,28,0))</f>
        <v>3</v>
      </c>
      <c r="X39" s="140">
        <f>IF(VLOOKUP($N39,'Resumen Items'!$E:$AP,29,0)="",VLOOKUP($N39,'Resumen Items'!$E:$AP,7,0),VLOOKUP($N39,'Resumen Items'!$E:$AP,29,0))</f>
        <v>3</v>
      </c>
      <c r="Y39" s="140">
        <f>IF(VLOOKUP($N39,'Resumen Items'!$E:$AP,30,0)="",VLOOKUP($N39,'Resumen Items'!$E:$AP,8,0),VLOOKUP($N39,'Resumen Items'!$E:$AP,30,0))</f>
        <v>2</v>
      </c>
      <c r="Z39" s="193">
        <f t="shared" si="13"/>
        <v>0</v>
      </c>
      <c r="AA39" s="193">
        <f t="shared" si="13"/>
        <v>0</v>
      </c>
      <c r="AB39" s="193">
        <f t="shared" si="13"/>
        <v>0</v>
      </c>
      <c r="AC39" s="193">
        <f t="shared" si="13"/>
        <v>0</v>
      </c>
      <c r="AD39" s="193">
        <f t="shared" si="9"/>
        <v>0</v>
      </c>
      <c r="AE39" s="189">
        <f>IF(VLOOKUP($N39,'Resumen Items'!$E:$AP,27,0)="",VLOOKUP($N39,'Resumen Items'!$E:$AP,4,0),VLOOKUP($N39,'Resumen Items'!$E:$AP,25,0))</f>
        <v>1.2749999999999999E-2</v>
      </c>
      <c r="AG39" s="217">
        <v>0</v>
      </c>
      <c r="AH39" s="217">
        <v>0</v>
      </c>
      <c r="AI39" s="217">
        <v>0</v>
      </c>
      <c r="AJ39" s="217">
        <v>0</v>
      </c>
      <c r="AK39" s="217">
        <v>0</v>
      </c>
      <c r="AL39" s="218">
        <v>1.2749999999999999E-2</v>
      </c>
      <c r="AM39" s="189"/>
      <c r="AN39" s="193">
        <f t="shared" si="10"/>
        <v>0</v>
      </c>
      <c r="AO39" s="193">
        <f t="shared" si="10"/>
        <v>0</v>
      </c>
      <c r="AP39" s="193">
        <f t="shared" si="10"/>
        <v>0</v>
      </c>
      <c r="AQ39" s="193">
        <f t="shared" si="10"/>
        <v>0</v>
      </c>
      <c r="AR39" s="193">
        <f t="shared" si="11"/>
        <v>0</v>
      </c>
      <c r="AT39" s="193" t="str">
        <f t="shared" si="12"/>
        <v>Amarelo</v>
      </c>
      <c r="AU39" s="193" t="str">
        <f t="shared" si="12"/>
        <v>Amarelo</v>
      </c>
      <c r="AV39" s="193" t="str">
        <f t="shared" si="12"/>
        <v>Amarelo</v>
      </c>
      <c r="AW39" s="193" t="str">
        <f t="shared" si="12"/>
        <v/>
      </c>
    </row>
    <row r="40" spans="10:49" ht="34.5" x14ac:dyDescent="0.25">
      <c r="J40" s="221" t="s">
        <v>1131</v>
      </c>
      <c r="K40" s="222" t="s">
        <v>123</v>
      </c>
      <c r="L40" s="222" t="s">
        <v>83</v>
      </c>
      <c r="M40" s="222" t="s">
        <v>124</v>
      </c>
      <c r="N40" s="222" t="s">
        <v>127</v>
      </c>
      <c r="O40" s="223"/>
      <c r="P40" s="223" t="s">
        <v>260</v>
      </c>
      <c r="Q40" s="223" t="s">
        <v>260</v>
      </c>
      <c r="R40" s="223"/>
      <c r="S40" s="224">
        <v>5.0000000000000001E-3</v>
      </c>
      <c r="U40" s="193">
        <f t="shared" si="7"/>
        <v>2</v>
      </c>
      <c r="V40" s="140">
        <f>IF(VLOOKUP($N40,'Resumen Items'!$E:$AP,27,0)="",VLOOKUP($N40,'Resumen Items'!$E:$AP,5,0),VLOOKUP($N40,'Resumen Items'!$E:$AP,27,0))</f>
        <v>3</v>
      </c>
      <c r="W40" s="140">
        <f>IF(VLOOKUP($N40,'Resumen Items'!$E:$AP,28,0)="",VLOOKUP($N40,'Resumen Items'!$E:$AP,6,0),VLOOKUP($N40,'Resumen Items'!$E:$AP,28,0))</f>
        <v>3</v>
      </c>
      <c r="X40" s="140">
        <f>IF(VLOOKUP($N40,'Resumen Items'!$E:$AP,29,0)="",VLOOKUP($N40,'Resumen Items'!$E:$AP,7,0),VLOOKUP($N40,'Resumen Items'!$E:$AP,29,0))</f>
        <v>3</v>
      </c>
      <c r="Y40" s="140">
        <f>IF(VLOOKUP($N40,'Resumen Items'!$E:$AP,30,0)="",VLOOKUP($N40,'Resumen Items'!$E:$AP,8,0),VLOOKUP($N40,'Resumen Items'!$E:$AP,30,0))</f>
        <v>3</v>
      </c>
      <c r="Z40" s="193">
        <f t="shared" si="13"/>
        <v>0</v>
      </c>
      <c r="AA40" s="193">
        <f t="shared" si="13"/>
        <v>1</v>
      </c>
      <c r="AB40" s="193">
        <f t="shared" si="13"/>
        <v>1</v>
      </c>
      <c r="AC40" s="193">
        <f t="shared" si="13"/>
        <v>0</v>
      </c>
      <c r="AD40" s="193">
        <f t="shared" si="9"/>
        <v>2</v>
      </c>
      <c r="AE40" s="189">
        <f>IF(VLOOKUP($N40,'Resumen Items'!$E:$AP,27,0)="",VLOOKUP($N40,'Resumen Items'!$E:$AP,4,0),VLOOKUP($N40,'Resumen Items'!$E:$AP,25,0))</f>
        <v>5.0000000000000001E-3</v>
      </c>
      <c r="AG40" s="217">
        <v>0</v>
      </c>
      <c r="AH40" s="217">
        <v>1</v>
      </c>
      <c r="AI40" s="217">
        <v>1</v>
      </c>
      <c r="AJ40" s="217">
        <v>0</v>
      </c>
      <c r="AK40" s="217">
        <v>2</v>
      </c>
      <c r="AL40" s="218">
        <v>4.2500000000000003E-3</v>
      </c>
      <c r="AM40" s="189"/>
      <c r="AN40" s="193">
        <f t="shared" si="10"/>
        <v>0</v>
      </c>
      <c r="AO40" s="193">
        <f t="shared" si="10"/>
        <v>0</v>
      </c>
      <c r="AP40" s="193">
        <f t="shared" si="10"/>
        <v>0</v>
      </c>
      <c r="AQ40" s="193">
        <f t="shared" si="10"/>
        <v>0</v>
      </c>
      <c r="AR40" s="193">
        <f t="shared" si="11"/>
        <v>0</v>
      </c>
      <c r="AT40" s="193" t="str">
        <f t="shared" si="12"/>
        <v>Amarelo</v>
      </c>
      <c r="AU40" s="193" t="str">
        <f t="shared" si="12"/>
        <v>Verde</v>
      </c>
      <c r="AV40" s="193" t="str">
        <f t="shared" si="12"/>
        <v>Verde</v>
      </c>
      <c r="AW40" s="193" t="str">
        <f t="shared" si="12"/>
        <v>Amarelo</v>
      </c>
    </row>
    <row r="41" spans="10:49" ht="34.5" x14ac:dyDescent="0.25">
      <c r="J41" s="214" t="s">
        <v>1131</v>
      </c>
      <c r="K41" s="215" t="s">
        <v>123</v>
      </c>
      <c r="L41" s="215" t="s">
        <v>85</v>
      </c>
      <c r="M41" s="215" t="s">
        <v>124</v>
      </c>
      <c r="N41" s="215" t="s">
        <v>128</v>
      </c>
      <c r="O41" s="215"/>
      <c r="P41" s="215" t="s">
        <v>260</v>
      </c>
      <c r="Q41" s="215"/>
      <c r="R41" s="215"/>
      <c r="S41" s="216">
        <v>1.4999999999999999E-2</v>
      </c>
      <c r="U41" s="193">
        <f t="shared" si="7"/>
        <v>1</v>
      </c>
      <c r="V41" s="140">
        <f>IF(VLOOKUP($N41,'Resumen Items'!$E:$AP,27,0)="",VLOOKUP($N41,'Resumen Items'!$E:$AP,5,0),VLOOKUP($N41,'Resumen Items'!$E:$AP,27,0))</f>
        <v>3</v>
      </c>
      <c r="W41" s="140">
        <f>IF(VLOOKUP($N41,'Resumen Items'!$E:$AP,28,0)="",VLOOKUP($N41,'Resumen Items'!$E:$AP,6,0),VLOOKUP($N41,'Resumen Items'!$E:$AP,28,0))</f>
        <v>3</v>
      </c>
      <c r="X41" s="140">
        <f>IF(VLOOKUP($N41,'Resumen Items'!$E:$AP,29,0)="",VLOOKUP($N41,'Resumen Items'!$E:$AP,7,0),VLOOKUP($N41,'Resumen Items'!$E:$AP,29,0))</f>
        <v>3</v>
      </c>
      <c r="Y41" s="140">
        <f>IF(VLOOKUP($N41,'Resumen Items'!$E:$AP,30,0)="",VLOOKUP($N41,'Resumen Items'!$E:$AP,8,0),VLOOKUP($N41,'Resumen Items'!$E:$AP,30,0))</f>
        <v>3</v>
      </c>
      <c r="Z41" s="193">
        <f t="shared" si="13"/>
        <v>0</v>
      </c>
      <c r="AA41" s="193">
        <f t="shared" si="13"/>
        <v>1</v>
      </c>
      <c r="AB41" s="193">
        <f t="shared" si="13"/>
        <v>0</v>
      </c>
      <c r="AC41" s="193">
        <f t="shared" si="13"/>
        <v>0</v>
      </c>
      <c r="AD41" s="193">
        <f t="shared" si="9"/>
        <v>1</v>
      </c>
      <c r="AE41" s="189">
        <f>IF(VLOOKUP($N41,'Resumen Items'!$E:$AP,27,0)="",VLOOKUP($N41,'Resumen Items'!$E:$AP,4,0),VLOOKUP($N41,'Resumen Items'!$E:$AP,25,0))</f>
        <v>1.4999999999999999E-2</v>
      </c>
      <c r="AG41" s="217">
        <v>0</v>
      </c>
      <c r="AH41" s="217">
        <v>0</v>
      </c>
      <c r="AI41" s="217">
        <v>0</v>
      </c>
      <c r="AJ41" s="217">
        <v>0</v>
      </c>
      <c r="AK41" s="217">
        <v>0</v>
      </c>
      <c r="AL41" s="218">
        <v>1.4999999999999999E-2</v>
      </c>
      <c r="AM41" s="189"/>
      <c r="AN41" s="193">
        <f t="shared" si="10"/>
        <v>0</v>
      </c>
      <c r="AO41" s="193">
        <f t="shared" si="10"/>
        <v>0</v>
      </c>
      <c r="AP41" s="193">
        <f t="shared" si="10"/>
        <v>0</v>
      </c>
      <c r="AQ41" s="193">
        <f t="shared" si="10"/>
        <v>0</v>
      </c>
      <c r="AR41" s="193">
        <f t="shared" si="11"/>
        <v>0</v>
      </c>
      <c r="AT41" s="193" t="str">
        <f t="shared" si="12"/>
        <v>Amarelo</v>
      </c>
      <c r="AU41" s="193" t="str">
        <f t="shared" si="12"/>
        <v>Verde</v>
      </c>
      <c r="AV41" s="193" t="str">
        <f t="shared" si="12"/>
        <v>Amarelo</v>
      </c>
      <c r="AW41" s="193" t="str">
        <f t="shared" si="12"/>
        <v>Amarelo</v>
      </c>
    </row>
    <row r="42" spans="10:49" ht="51.75" x14ac:dyDescent="0.25">
      <c r="J42" s="221" t="s">
        <v>1131</v>
      </c>
      <c r="K42" s="222" t="s">
        <v>123</v>
      </c>
      <c r="L42" s="222" t="s">
        <v>88</v>
      </c>
      <c r="M42" s="222" t="s">
        <v>129</v>
      </c>
      <c r="N42" s="222" t="s">
        <v>130</v>
      </c>
      <c r="O42" s="223"/>
      <c r="P42" s="223" t="s">
        <v>260</v>
      </c>
      <c r="Q42" s="223" t="s">
        <v>260</v>
      </c>
      <c r="R42" s="223" t="s">
        <v>260</v>
      </c>
      <c r="S42" s="224">
        <v>0.02</v>
      </c>
      <c r="U42" s="193">
        <f t="shared" si="7"/>
        <v>3</v>
      </c>
      <c r="V42" s="140">
        <f>IF(VLOOKUP($N42,'Resumen Items'!$E:$AP,27,0)="",VLOOKUP($N42,'Resumen Items'!$E:$AP,5,0),VLOOKUP($N42,'Resumen Items'!$E:$AP,27,0))</f>
        <v>3</v>
      </c>
      <c r="W42" s="140">
        <f>IF(VLOOKUP($N42,'Resumen Items'!$E:$AP,28,0)="",VLOOKUP($N42,'Resumen Items'!$E:$AP,6,0),VLOOKUP($N42,'Resumen Items'!$E:$AP,28,0))</f>
        <v>3</v>
      </c>
      <c r="X42" s="140">
        <f>IF(VLOOKUP($N42,'Resumen Items'!$E:$AP,29,0)="",VLOOKUP($N42,'Resumen Items'!$E:$AP,7,0),VLOOKUP($N42,'Resumen Items'!$E:$AP,29,0))</f>
        <v>3</v>
      </c>
      <c r="Y42" s="140">
        <f>IF(VLOOKUP($N42,'Resumen Items'!$E:$AP,30,0)="",VLOOKUP($N42,'Resumen Items'!$E:$AP,8,0),VLOOKUP($N42,'Resumen Items'!$E:$AP,30,0))</f>
        <v>1</v>
      </c>
      <c r="Z42" s="193">
        <f t="shared" si="13"/>
        <v>0</v>
      </c>
      <c r="AA42" s="193">
        <f t="shared" si="13"/>
        <v>1</v>
      </c>
      <c r="AB42" s="193">
        <f t="shared" si="13"/>
        <v>1</v>
      </c>
      <c r="AC42" s="193">
        <f t="shared" si="13"/>
        <v>0</v>
      </c>
      <c r="AD42" s="193">
        <f t="shared" si="9"/>
        <v>2</v>
      </c>
      <c r="AE42" s="189">
        <f>IF(VLOOKUP($N42,'Resumen Items'!$E:$AP,27,0)="",VLOOKUP($N42,'Resumen Items'!$E:$AP,4,0),VLOOKUP($N42,'Resumen Items'!$E:$AP,25,0))</f>
        <v>1.7000000000000001E-2</v>
      </c>
      <c r="AG42" s="217">
        <v>0</v>
      </c>
      <c r="AH42" s="217">
        <v>1</v>
      </c>
      <c r="AI42" s="217">
        <v>1</v>
      </c>
      <c r="AJ42" s="217">
        <v>1</v>
      </c>
      <c r="AK42" s="217">
        <v>3</v>
      </c>
      <c r="AL42" s="218">
        <v>0.02</v>
      </c>
      <c r="AM42" s="189"/>
      <c r="AN42" s="193">
        <f t="shared" si="10"/>
        <v>0</v>
      </c>
      <c r="AO42" s="193">
        <f t="shared" si="10"/>
        <v>0</v>
      </c>
      <c r="AP42" s="193">
        <f t="shared" si="10"/>
        <v>0</v>
      </c>
      <c r="AQ42" s="193">
        <f t="shared" si="10"/>
        <v>1</v>
      </c>
      <c r="AR42" s="193">
        <f t="shared" si="11"/>
        <v>1</v>
      </c>
      <c r="AT42" s="193" t="str">
        <f t="shared" si="12"/>
        <v>Amarelo</v>
      </c>
      <c r="AU42" s="193" t="str">
        <f t="shared" si="12"/>
        <v>Verde</v>
      </c>
      <c r="AV42" s="193" t="str">
        <f t="shared" si="12"/>
        <v>Verde</v>
      </c>
      <c r="AW42" s="193" t="str">
        <f t="shared" si="12"/>
        <v>Laranja</v>
      </c>
    </row>
    <row r="43" spans="10:49" ht="51.75" x14ac:dyDescent="0.25">
      <c r="J43" s="214" t="s">
        <v>1131</v>
      </c>
      <c r="K43" s="215" t="s">
        <v>123</v>
      </c>
      <c r="L43" s="215" t="s">
        <v>90</v>
      </c>
      <c r="M43" s="215" t="s">
        <v>131</v>
      </c>
      <c r="N43" s="215" t="s">
        <v>132</v>
      </c>
      <c r="O43" s="215"/>
      <c r="P43" s="215" t="s">
        <v>260</v>
      </c>
      <c r="Q43" s="215" t="s">
        <v>260</v>
      </c>
      <c r="R43" s="215"/>
      <c r="S43" s="216">
        <v>0.01</v>
      </c>
      <c r="U43" s="193">
        <f t="shared" si="7"/>
        <v>2</v>
      </c>
      <c r="V43" s="140">
        <f>IF(VLOOKUP($N43,'Resumen Items'!$E:$AP,27,0)="",VLOOKUP($N43,'Resumen Items'!$E:$AP,5,0),VLOOKUP($N43,'Resumen Items'!$E:$AP,27,0))</f>
        <v>3</v>
      </c>
      <c r="W43" s="140">
        <f>IF(VLOOKUP($N43,'Resumen Items'!$E:$AP,28,0)="",VLOOKUP($N43,'Resumen Items'!$E:$AP,6,0),VLOOKUP($N43,'Resumen Items'!$E:$AP,28,0))</f>
        <v>3</v>
      </c>
      <c r="X43" s="140">
        <f>IF(VLOOKUP($N43,'Resumen Items'!$E:$AP,29,0)="",VLOOKUP($N43,'Resumen Items'!$E:$AP,7,0),VLOOKUP($N43,'Resumen Items'!$E:$AP,29,0))</f>
        <v>3</v>
      </c>
      <c r="Y43" s="140">
        <f>IF(VLOOKUP($N43,'Resumen Items'!$E:$AP,30,0)="",VLOOKUP($N43,'Resumen Items'!$E:$AP,8,0),VLOOKUP($N43,'Resumen Items'!$E:$AP,30,0))</f>
        <v>3</v>
      </c>
      <c r="Z43" s="193">
        <f t="shared" si="13"/>
        <v>0</v>
      </c>
      <c r="AA43" s="193">
        <f t="shared" si="13"/>
        <v>1</v>
      </c>
      <c r="AB43" s="193">
        <f t="shared" si="13"/>
        <v>1</v>
      </c>
      <c r="AC43" s="193">
        <f t="shared" si="13"/>
        <v>0</v>
      </c>
      <c r="AD43" s="193">
        <f t="shared" si="9"/>
        <v>2</v>
      </c>
      <c r="AE43" s="189">
        <f>IF(VLOOKUP($N43,'Resumen Items'!$E:$AP,27,0)="",VLOOKUP($N43,'Resumen Items'!$E:$AP,4,0),VLOOKUP($N43,'Resumen Items'!$E:$AP,25,0))</f>
        <v>0.01</v>
      </c>
      <c r="AG43" s="217">
        <v>0</v>
      </c>
      <c r="AH43" s="217">
        <v>1</v>
      </c>
      <c r="AI43" s="217">
        <v>1</v>
      </c>
      <c r="AJ43" s="217">
        <v>0</v>
      </c>
      <c r="AK43" s="217">
        <v>2</v>
      </c>
      <c r="AL43" s="218">
        <v>0.01</v>
      </c>
      <c r="AM43" s="189"/>
      <c r="AN43" s="193">
        <f t="shared" si="10"/>
        <v>0</v>
      </c>
      <c r="AO43" s="193">
        <f t="shared" si="10"/>
        <v>0</v>
      </c>
      <c r="AP43" s="193">
        <f t="shared" si="10"/>
        <v>0</v>
      </c>
      <c r="AQ43" s="193">
        <f t="shared" si="10"/>
        <v>0</v>
      </c>
      <c r="AR43" s="193">
        <f t="shared" si="11"/>
        <v>0</v>
      </c>
      <c r="AT43" s="193" t="str">
        <f t="shared" si="12"/>
        <v>Amarelo</v>
      </c>
      <c r="AU43" s="193" t="str">
        <f t="shared" si="12"/>
        <v>Verde</v>
      </c>
      <c r="AV43" s="193" t="str">
        <f t="shared" si="12"/>
        <v>Verde</v>
      </c>
      <c r="AW43" s="193" t="str">
        <f t="shared" si="12"/>
        <v>Amarelo</v>
      </c>
    </row>
    <row r="44" spans="10:49" ht="51.75" x14ac:dyDescent="0.25">
      <c r="J44" s="221" t="s">
        <v>1131</v>
      </c>
      <c r="K44" s="222" t="s">
        <v>123</v>
      </c>
      <c r="L44" s="222" t="s">
        <v>93</v>
      </c>
      <c r="M44" s="222" t="s">
        <v>131</v>
      </c>
      <c r="N44" s="222" t="s">
        <v>133</v>
      </c>
      <c r="O44" s="223"/>
      <c r="P44" s="223" t="s">
        <v>260</v>
      </c>
      <c r="Q44" s="223"/>
      <c r="R44" s="223" t="s">
        <v>260</v>
      </c>
      <c r="S44" s="224">
        <v>0.01</v>
      </c>
      <c r="U44" s="193">
        <f t="shared" si="7"/>
        <v>2</v>
      </c>
      <c r="V44" s="140">
        <f>IF(VLOOKUP($N44,'Resumen Items'!$E:$AP,27,0)="",VLOOKUP($N44,'Resumen Items'!$E:$AP,5,0),VLOOKUP($N44,'Resumen Items'!$E:$AP,27,0))</f>
        <v>1</v>
      </c>
      <c r="W44" s="140" t="str">
        <f>IF(VLOOKUP($N44,'Resumen Items'!$E:$AP,28,0)="",VLOOKUP($N44,'Resumen Items'!$E:$AP,6,0),VLOOKUP($N44,'Resumen Items'!$E:$AP,28,0))</f>
        <v/>
      </c>
      <c r="X44" s="140" t="str">
        <f>IF(VLOOKUP($N44,'Resumen Items'!$E:$AP,29,0)="",VLOOKUP($N44,'Resumen Items'!$E:$AP,7,0),VLOOKUP($N44,'Resumen Items'!$E:$AP,29,0))</f>
        <v/>
      </c>
      <c r="Y44" s="140" t="str">
        <f>IF(VLOOKUP($N44,'Resumen Items'!$E:$AP,30,0)="",VLOOKUP($N44,'Resumen Items'!$E:$AP,8,0),VLOOKUP($N44,'Resumen Items'!$E:$AP,30,0))</f>
        <v/>
      </c>
      <c r="Z44" s="193">
        <f t="shared" si="13"/>
        <v>0</v>
      </c>
      <c r="AA44" s="193">
        <f t="shared" si="13"/>
        <v>0</v>
      </c>
      <c r="AB44" s="193">
        <f t="shared" si="13"/>
        <v>0</v>
      </c>
      <c r="AC44" s="193">
        <f t="shared" si="13"/>
        <v>0</v>
      </c>
      <c r="AD44" s="193">
        <f t="shared" si="9"/>
        <v>0</v>
      </c>
      <c r="AE44" s="189">
        <f>IF(VLOOKUP($N44,'Resumen Items'!$E:$AP,27,0)="",VLOOKUP($N44,'Resumen Items'!$E:$AP,4,0),VLOOKUP($N44,'Resumen Items'!$E:$AP,25,0))</f>
        <v>0</v>
      </c>
      <c r="AG44" s="217">
        <v>0</v>
      </c>
      <c r="AH44" s="217">
        <v>0</v>
      </c>
      <c r="AI44" s="217">
        <v>0</v>
      </c>
      <c r="AJ44" s="217">
        <v>0</v>
      </c>
      <c r="AK44" s="217">
        <v>0</v>
      </c>
      <c r="AL44" s="218">
        <v>0.01</v>
      </c>
      <c r="AM44" s="189"/>
      <c r="AN44" s="193">
        <f t="shared" si="10"/>
        <v>0</v>
      </c>
      <c r="AO44" s="193">
        <f t="shared" si="10"/>
        <v>0</v>
      </c>
      <c r="AP44" s="193">
        <f t="shared" si="10"/>
        <v>0</v>
      </c>
      <c r="AQ44" s="193">
        <f t="shared" si="10"/>
        <v>0</v>
      </c>
      <c r="AR44" s="193">
        <f t="shared" si="11"/>
        <v>0</v>
      </c>
      <c r="AT44" s="193" t="str">
        <f t="shared" si="12"/>
        <v/>
      </c>
      <c r="AU44" s="193" t="str">
        <f t="shared" si="12"/>
        <v/>
      </c>
      <c r="AV44" s="193" t="str">
        <f t="shared" si="12"/>
        <v/>
      </c>
      <c r="AW44" s="193" t="str">
        <f t="shared" si="12"/>
        <v/>
      </c>
    </row>
    <row r="45" spans="10:49" ht="51.75" x14ac:dyDescent="0.25">
      <c r="J45" s="214" t="s">
        <v>1131</v>
      </c>
      <c r="K45" s="215" t="s">
        <v>123</v>
      </c>
      <c r="L45" s="215" t="s">
        <v>95</v>
      </c>
      <c r="M45" s="215" t="s">
        <v>131</v>
      </c>
      <c r="N45" s="215" t="s">
        <v>134</v>
      </c>
      <c r="O45" s="215" t="s">
        <v>260</v>
      </c>
      <c r="P45" s="215" t="s">
        <v>260</v>
      </c>
      <c r="Q45" s="215" t="s">
        <v>260</v>
      </c>
      <c r="R45" s="215" t="s">
        <v>260</v>
      </c>
      <c r="S45" s="216">
        <v>2.5000000000000001E-2</v>
      </c>
      <c r="U45" s="193">
        <f t="shared" si="7"/>
        <v>4</v>
      </c>
      <c r="V45" s="140">
        <f>IF(VLOOKUP($N45,'Resumen Items'!$E:$AP,27,0)="",VLOOKUP($N45,'Resumen Items'!$E:$AP,5,0),VLOOKUP($N45,'Resumen Items'!$E:$AP,27,0))</f>
        <v>3</v>
      </c>
      <c r="W45" s="140">
        <f>IF(VLOOKUP($N45,'Resumen Items'!$E:$AP,28,0)="",VLOOKUP($N45,'Resumen Items'!$E:$AP,6,0),VLOOKUP($N45,'Resumen Items'!$E:$AP,28,0))</f>
        <v>2</v>
      </c>
      <c r="X45" s="140" t="str">
        <f>IF(VLOOKUP($N45,'Resumen Items'!$E:$AP,29,0)="",VLOOKUP($N45,'Resumen Items'!$E:$AP,7,0),VLOOKUP($N45,'Resumen Items'!$E:$AP,29,0))</f>
        <v/>
      </c>
      <c r="Y45" s="140" t="str">
        <f>IF(VLOOKUP($N45,'Resumen Items'!$E:$AP,30,0)="",VLOOKUP($N45,'Resumen Items'!$E:$AP,8,0),VLOOKUP($N45,'Resumen Items'!$E:$AP,30,0))</f>
        <v/>
      </c>
      <c r="Z45" s="193">
        <f t="shared" si="13"/>
        <v>1</v>
      </c>
      <c r="AA45" s="193">
        <f t="shared" si="13"/>
        <v>0</v>
      </c>
      <c r="AB45" s="193">
        <f t="shared" si="13"/>
        <v>0</v>
      </c>
      <c r="AC45" s="193">
        <f t="shared" si="13"/>
        <v>0</v>
      </c>
      <c r="AD45" s="193">
        <f t="shared" si="9"/>
        <v>1</v>
      </c>
      <c r="AE45" s="189">
        <f>IF(VLOOKUP($N45,'Resumen Items'!$E:$AP,27,0)="",VLOOKUP($N45,'Resumen Items'!$E:$AP,4,0),VLOOKUP($N45,'Resumen Items'!$E:$AP,25,0))</f>
        <v>1.0000000000000002E-2</v>
      </c>
      <c r="AG45" s="217">
        <v>1</v>
      </c>
      <c r="AH45" s="217">
        <v>0</v>
      </c>
      <c r="AI45" s="217">
        <v>0</v>
      </c>
      <c r="AJ45" s="217">
        <v>0</v>
      </c>
      <c r="AK45" s="217">
        <v>1</v>
      </c>
      <c r="AL45" s="218">
        <v>2.5000000000000001E-2</v>
      </c>
      <c r="AM45" s="189"/>
      <c r="AN45" s="193">
        <f t="shared" si="10"/>
        <v>0</v>
      </c>
      <c r="AO45" s="193">
        <f t="shared" si="10"/>
        <v>0</v>
      </c>
      <c r="AP45" s="193">
        <f t="shared" si="10"/>
        <v>0</v>
      </c>
      <c r="AQ45" s="193">
        <f t="shared" si="10"/>
        <v>0</v>
      </c>
      <c r="AR45" s="193">
        <f t="shared" si="11"/>
        <v>0</v>
      </c>
      <c r="AT45" s="193" t="str">
        <f t="shared" si="12"/>
        <v>Verde</v>
      </c>
      <c r="AU45" s="193" t="str">
        <f t="shared" si="12"/>
        <v/>
      </c>
      <c r="AV45" s="193" t="str">
        <f t="shared" si="12"/>
        <v/>
      </c>
      <c r="AW45" s="193" t="str">
        <f t="shared" si="12"/>
        <v/>
      </c>
    </row>
    <row r="46" spans="10:49" ht="51.75" x14ac:dyDescent="0.25">
      <c r="J46" s="221" t="s">
        <v>1131</v>
      </c>
      <c r="K46" s="222" t="s">
        <v>123</v>
      </c>
      <c r="L46" s="222" t="s">
        <v>97</v>
      </c>
      <c r="M46" s="222" t="s">
        <v>131</v>
      </c>
      <c r="N46" s="222" t="s">
        <v>135</v>
      </c>
      <c r="O46" s="223"/>
      <c r="P46" s="223" t="s">
        <v>260</v>
      </c>
      <c r="Q46" s="223" t="s">
        <v>260</v>
      </c>
      <c r="R46" s="223" t="s">
        <v>260</v>
      </c>
      <c r="S46" s="224">
        <v>2.5000000000000001E-2</v>
      </c>
      <c r="U46" s="193">
        <f t="shared" si="7"/>
        <v>3</v>
      </c>
      <c r="V46" s="140">
        <f>IF(VLOOKUP($N46,'Resumen Items'!$E:$AP,27,0)="",VLOOKUP($N46,'Resumen Items'!$E:$AP,5,0),VLOOKUP($N46,'Resumen Items'!$E:$AP,27,0))</f>
        <v>3</v>
      </c>
      <c r="W46" s="140">
        <f>IF(VLOOKUP($N46,'Resumen Items'!$E:$AP,28,0)="",VLOOKUP($N46,'Resumen Items'!$E:$AP,6,0),VLOOKUP($N46,'Resumen Items'!$E:$AP,28,0))</f>
        <v>3</v>
      </c>
      <c r="X46" s="140">
        <f>IF(VLOOKUP($N46,'Resumen Items'!$E:$AP,29,0)="",VLOOKUP($N46,'Resumen Items'!$E:$AP,7,0),VLOOKUP($N46,'Resumen Items'!$E:$AP,29,0))</f>
        <v>3</v>
      </c>
      <c r="Y46" s="140">
        <f>IF(VLOOKUP($N46,'Resumen Items'!$E:$AP,30,0)="",VLOOKUP($N46,'Resumen Items'!$E:$AP,8,0),VLOOKUP($N46,'Resumen Items'!$E:$AP,30,0))</f>
        <v>3</v>
      </c>
      <c r="Z46" s="193">
        <f t="shared" si="13"/>
        <v>0</v>
      </c>
      <c r="AA46" s="193">
        <f t="shared" si="13"/>
        <v>1</v>
      </c>
      <c r="AB46" s="193">
        <f t="shared" si="13"/>
        <v>1</v>
      </c>
      <c r="AC46" s="193">
        <f t="shared" si="13"/>
        <v>1</v>
      </c>
      <c r="AD46" s="193">
        <f t="shared" si="9"/>
        <v>3</v>
      </c>
      <c r="AE46" s="189">
        <f>IF(VLOOKUP($N46,'Resumen Items'!$E:$AP,27,0)="",VLOOKUP($N46,'Resumen Items'!$E:$AP,4,0),VLOOKUP($N46,'Resumen Items'!$E:$AP,25,0))</f>
        <v>2.5000000000000001E-2</v>
      </c>
      <c r="AG46" s="217">
        <v>0</v>
      </c>
      <c r="AH46" s="217">
        <v>1</v>
      </c>
      <c r="AI46" s="217">
        <v>1</v>
      </c>
      <c r="AJ46" s="217">
        <v>0</v>
      </c>
      <c r="AK46" s="217">
        <v>2</v>
      </c>
      <c r="AL46" s="218">
        <v>1.7499999999999998E-2</v>
      </c>
      <c r="AM46" s="189"/>
      <c r="AN46" s="193">
        <f t="shared" si="10"/>
        <v>0</v>
      </c>
      <c r="AO46" s="193">
        <f t="shared" si="10"/>
        <v>0</v>
      </c>
      <c r="AP46" s="193">
        <f t="shared" si="10"/>
        <v>0</v>
      </c>
      <c r="AQ46" s="193">
        <f t="shared" si="10"/>
        <v>0</v>
      </c>
      <c r="AR46" s="193">
        <f t="shared" si="11"/>
        <v>0</v>
      </c>
      <c r="AT46" s="193" t="str">
        <f t="shared" si="12"/>
        <v>Amarelo</v>
      </c>
      <c r="AU46" s="193" t="str">
        <f t="shared" si="12"/>
        <v>Verde</v>
      </c>
      <c r="AV46" s="193" t="str">
        <f t="shared" si="12"/>
        <v>Verde</v>
      </c>
      <c r="AW46" s="193" t="str">
        <f t="shared" si="12"/>
        <v>Verde</v>
      </c>
    </row>
    <row r="47" spans="10:49" ht="34.5" x14ac:dyDescent="0.25">
      <c r="J47" s="214" t="s">
        <v>1131</v>
      </c>
      <c r="K47" s="215" t="s">
        <v>123</v>
      </c>
      <c r="L47" s="215" t="s">
        <v>100</v>
      </c>
      <c r="M47" s="215" t="s">
        <v>136</v>
      </c>
      <c r="N47" s="215" t="s">
        <v>137</v>
      </c>
      <c r="O47" s="215" t="s">
        <v>260</v>
      </c>
      <c r="P47" s="215" t="s">
        <v>260</v>
      </c>
      <c r="Q47" s="215" t="s">
        <v>260</v>
      </c>
      <c r="R47" s="215" t="s">
        <v>260</v>
      </c>
      <c r="S47" s="216">
        <v>2.5000000000000001E-2</v>
      </c>
      <c r="U47" s="193">
        <f t="shared" si="7"/>
        <v>4</v>
      </c>
      <c r="V47" s="140">
        <f>IF(VLOOKUP($N47,'Resumen Items'!$E:$AP,27,0)="",VLOOKUP($N47,'Resumen Items'!$E:$AP,5,0),VLOOKUP($N47,'Resumen Items'!$E:$AP,27,0))</f>
        <v>3</v>
      </c>
      <c r="W47" s="140">
        <f>IF(VLOOKUP($N47,'Resumen Items'!$E:$AP,28,0)="",VLOOKUP($N47,'Resumen Items'!$E:$AP,6,0),VLOOKUP($N47,'Resumen Items'!$E:$AP,28,0))</f>
        <v>3</v>
      </c>
      <c r="X47" s="140" t="str">
        <f>IF(VLOOKUP($N47,'Resumen Items'!$E:$AP,29,0)="",VLOOKUP($N47,'Resumen Items'!$E:$AP,7,0),VLOOKUP($N47,'Resumen Items'!$E:$AP,29,0))</f>
        <v/>
      </c>
      <c r="Y47" s="140" t="str">
        <f>IF(VLOOKUP($N47,'Resumen Items'!$E:$AP,30,0)="",VLOOKUP($N47,'Resumen Items'!$E:$AP,8,0),VLOOKUP($N47,'Resumen Items'!$E:$AP,30,0))</f>
        <v/>
      </c>
      <c r="Z47" s="193">
        <f t="shared" si="13"/>
        <v>1</v>
      </c>
      <c r="AA47" s="193">
        <f t="shared" si="13"/>
        <v>1</v>
      </c>
      <c r="AB47" s="193">
        <f t="shared" si="13"/>
        <v>0</v>
      </c>
      <c r="AC47" s="193">
        <f t="shared" si="13"/>
        <v>0</v>
      </c>
      <c r="AD47" s="193">
        <f t="shared" si="9"/>
        <v>2</v>
      </c>
      <c r="AE47" s="189">
        <f>IF(VLOOKUP($N47,'Resumen Items'!$E:$AP,27,0)="",VLOOKUP($N47,'Resumen Items'!$E:$AP,4,0),VLOOKUP($N47,'Resumen Items'!$E:$AP,25,0))</f>
        <v>1.7499999999999998E-2</v>
      </c>
      <c r="AG47" s="217">
        <v>1</v>
      </c>
      <c r="AH47" s="217">
        <v>1</v>
      </c>
      <c r="AI47" s="217">
        <v>0</v>
      </c>
      <c r="AJ47" s="217">
        <v>0</v>
      </c>
      <c r="AK47" s="217">
        <v>2</v>
      </c>
      <c r="AL47" s="218">
        <v>0</v>
      </c>
      <c r="AM47" s="189"/>
      <c r="AN47" s="193">
        <f t="shared" si="10"/>
        <v>0</v>
      </c>
      <c r="AO47" s="193">
        <f t="shared" si="10"/>
        <v>0</v>
      </c>
      <c r="AP47" s="193">
        <f t="shared" si="10"/>
        <v>0</v>
      </c>
      <c r="AQ47" s="193">
        <f t="shared" si="10"/>
        <v>0</v>
      </c>
      <c r="AR47" s="193">
        <f t="shared" si="11"/>
        <v>0</v>
      </c>
      <c r="AT47" s="193" t="str">
        <f t="shared" si="12"/>
        <v>Verde</v>
      </c>
      <c r="AU47" s="193" t="str">
        <f t="shared" si="12"/>
        <v>Verde</v>
      </c>
      <c r="AV47" s="193" t="str">
        <f t="shared" si="12"/>
        <v/>
      </c>
      <c r="AW47" s="193" t="str">
        <f t="shared" si="12"/>
        <v/>
      </c>
    </row>
    <row r="48" spans="10:49" ht="34.5" x14ac:dyDescent="0.25">
      <c r="J48" s="221" t="s">
        <v>1131</v>
      </c>
      <c r="K48" s="222" t="s">
        <v>123</v>
      </c>
      <c r="L48" s="222" t="s">
        <v>103</v>
      </c>
      <c r="M48" s="222" t="s">
        <v>136</v>
      </c>
      <c r="N48" s="222" t="s">
        <v>138</v>
      </c>
      <c r="O48" s="223"/>
      <c r="P48" s="223" t="s">
        <v>260</v>
      </c>
      <c r="Q48" s="223" t="s">
        <v>260</v>
      </c>
      <c r="R48" s="223"/>
      <c r="S48" s="224">
        <v>1.4999999999999999E-2</v>
      </c>
      <c r="U48" s="193">
        <f t="shared" si="7"/>
        <v>2</v>
      </c>
      <c r="V48" s="140">
        <f>IF(VLOOKUP($N48,'Resumen Items'!$E:$AP,27,0)="",VLOOKUP($N48,'Resumen Items'!$E:$AP,5,0),VLOOKUP($N48,'Resumen Items'!$E:$AP,27,0))</f>
        <v>3</v>
      </c>
      <c r="W48" s="140">
        <f>IF(VLOOKUP($N48,'Resumen Items'!$E:$AP,28,0)="",VLOOKUP($N48,'Resumen Items'!$E:$AP,6,0),VLOOKUP($N48,'Resumen Items'!$E:$AP,28,0))</f>
        <v>3</v>
      </c>
      <c r="X48" s="140">
        <f>IF(VLOOKUP($N48,'Resumen Items'!$E:$AP,29,0)="",VLOOKUP($N48,'Resumen Items'!$E:$AP,7,0),VLOOKUP($N48,'Resumen Items'!$E:$AP,29,0))</f>
        <v>3</v>
      </c>
      <c r="Y48" s="140">
        <f>IF(VLOOKUP($N48,'Resumen Items'!$E:$AP,30,0)="",VLOOKUP($N48,'Resumen Items'!$E:$AP,8,0),VLOOKUP($N48,'Resumen Items'!$E:$AP,30,0))</f>
        <v>3</v>
      </c>
      <c r="Z48" s="193">
        <f t="shared" si="13"/>
        <v>0</v>
      </c>
      <c r="AA48" s="193">
        <f t="shared" si="13"/>
        <v>1</v>
      </c>
      <c r="AB48" s="193">
        <f t="shared" si="13"/>
        <v>1</v>
      </c>
      <c r="AC48" s="193">
        <f t="shared" si="13"/>
        <v>0</v>
      </c>
      <c r="AD48" s="193">
        <f t="shared" si="9"/>
        <v>2</v>
      </c>
      <c r="AE48" s="189">
        <f>IF(VLOOKUP($N48,'Resumen Items'!$E:$AP,27,0)="",VLOOKUP($N48,'Resumen Items'!$E:$AP,4,0),VLOOKUP($N48,'Resumen Items'!$E:$AP,25,0))</f>
        <v>1.4999999999999999E-2</v>
      </c>
      <c r="AG48" s="217">
        <v>0</v>
      </c>
      <c r="AH48" s="217">
        <v>1</v>
      </c>
      <c r="AI48" s="217">
        <v>1</v>
      </c>
      <c r="AJ48" s="217">
        <v>0</v>
      </c>
      <c r="AK48" s="217">
        <v>2</v>
      </c>
      <c r="AL48" s="218">
        <v>1.4999999999999999E-2</v>
      </c>
      <c r="AM48" s="189"/>
      <c r="AN48" s="193">
        <f t="shared" si="10"/>
        <v>0</v>
      </c>
      <c r="AO48" s="193">
        <f t="shared" si="10"/>
        <v>0</v>
      </c>
      <c r="AP48" s="193">
        <f t="shared" si="10"/>
        <v>0</v>
      </c>
      <c r="AQ48" s="193">
        <f t="shared" si="10"/>
        <v>0</v>
      </c>
      <c r="AR48" s="193">
        <f t="shared" si="11"/>
        <v>0</v>
      </c>
      <c r="AT48" s="193" t="str">
        <f t="shared" si="12"/>
        <v>Amarelo</v>
      </c>
      <c r="AU48" s="193" t="str">
        <f t="shared" si="12"/>
        <v>Verde</v>
      </c>
      <c r="AV48" s="193" t="str">
        <f t="shared" si="12"/>
        <v>Verde</v>
      </c>
      <c r="AW48" s="193" t="str">
        <f t="shared" si="12"/>
        <v>Amarelo</v>
      </c>
    </row>
    <row r="49" spans="10:49" ht="34.5" x14ac:dyDescent="0.25">
      <c r="J49" s="214" t="s">
        <v>1131</v>
      </c>
      <c r="K49" s="215" t="s">
        <v>123</v>
      </c>
      <c r="L49" s="215" t="s">
        <v>106</v>
      </c>
      <c r="M49" s="215" t="s">
        <v>102</v>
      </c>
      <c r="N49" s="215" t="s">
        <v>139</v>
      </c>
      <c r="O49" s="215" t="s">
        <v>260</v>
      </c>
      <c r="P49" s="215" t="s">
        <v>260</v>
      </c>
      <c r="Q49" s="215" t="s">
        <v>260</v>
      </c>
      <c r="R49" s="215"/>
      <c r="S49" s="216">
        <v>1.4999999999999999E-2</v>
      </c>
      <c r="U49" s="193">
        <f t="shared" si="7"/>
        <v>3</v>
      </c>
      <c r="V49" s="140">
        <f>IF(VLOOKUP($N49,'Resumen Items'!$E:$AP,27,0)="",VLOOKUP($N49,'Resumen Items'!$E:$AP,5,0),VLOOKUP($N49,'Resumen Items'!$E:$AP,27,0))</f>
        <v>3</v>
      </c>
      <c r="W49" s="140">
        <f>IF(VLOOKUP($N49,'Resumen Items'!$E:$AP,28,0)="",VLOOKUP($N49,'Resumen Items'!$E:$AP,6,0),VLOOKUP($N49,'Resumen Items'!$E:$AP,28,0))</f>
        <v>3</v>
      </c>
      <c r="X49" s="140" t="str">
        <f>IF(VLOOKUP($N49,'Resumen Items'!$E:$AP,29,0)="",VLOOKUP($N49,'Resumen Items'!$E:$AP,7,0),VLOOKUP($N49,'Resumen Items'!$E:$AP,29,0))</f>
        <v/>
      </c>
      <c r="Y49" s="140" t="str">
        <f>IF(VLOOKUP($N49,'Resumen Items'!$E:$AP,30,0)="",VLOOKUP($N49,'Resumen Items'!$E:$AP,8,0),VLOOKUP($N49,'Resumen Items'!$E:$AP,30,0))</f>
        <v/>
      </c>
      <c r="Z49" s="193">
        <f t="shared" si="13"/>
        <v>1</v>
      </c>
      <c r="AA49" s="193">
        <f t="shared" si="13"/>
        <v>1</v>
      </c>
      <c r="AB49" s="193">
        <f t="shared" si="13"/>
        <v>0</v>
      </c>
      <c r="AC49" s="193">
        <f t="shared" si="13"/>
        <v>0</v>
      </c>
      <c r="AD49" s="193">
        <f t="shared" si="9"/>
        <v>2</v>
      </c>
      <c r="AE49" s="189">
        <f>IF(VLOOKUP($N49,'Resumen Items'!$E:$AP,27,0)="",VLOOKUP($N49,'Resumen Items'!$E:$AP,4,0),VLOOKUP($N49,'Resumen Items'!$E:$AP,25,0))</f>
        <v>1.0499999999999999E-2</v>
      </c>
      <c r="AG49" s="217">
        <v>1</v>
      </c>
      <c r="AH49" s="217">
        <v>1</v>
      </c>
      <c r="AI49" s="217">
        <v>0</v>
      </c>
      <c r="AJ49" s="217">
        <v>0</v>
      </c>
      <c r="AK49" s="217">
        <v>2</v>
      </c>
      <c r="AL49" s="218">
        <v>1.2749999999999999E-2</v>
      </c>
      <c r="AM49" s="189"/>
      <c r="AN49" s="193">
        <f t="shared" si="10"/>
        <v>0</v>
      </c>
      <c r="AO49" s="193">
        <f t="shared" si="10"/>
        <v>0</v>
      </c>
      <c r="AP49" s="193">
        <f t="shared" si="10"/>
        <v>0</v>
      </c>
      <c r="AQ49" s="193">
        <f t="shared" si="10"/>
        <v>0</v>
      </c>
      <c r="AR49" s="193">
        <f t="shared" si="11"/>
        <v>0</v>
      </c>
      <c r="AT49" s="193" t="str">
        <f t="shared" si="12"/>
        <v>Verde</v>
      </c>
      <c r="AU49" s="193" t="str">
        <f t="shared" si="12"/>
        <v>Verde</v>
      </c>
      <c r="AV49" s="193" t="str">
        <f t="shared" si="12"/>
        <v/>
      </c>
      <c r="AW49" s="193" t="str">
        <f t="shared" si="12"/>
        <v/>
      </c>
    </row>
    <row r="50" spans="10:49" ht="34.5" x14ac:dyDescent="0.25">
      <c r="J50" s="221" t="s">
        <v>1131</v>
      </c>
      <c r="K50" s="222" t="s">
        <v>123</v>
      </c>
      <c r="L50" s="222" t="s">
        <v>108</v>
      </c>
      <c r="M50" s="222" t="s">
        <v>39</v>
      </c>
      <c r="N50" s="222" t="s">
        <v>140</v>
      </c>
      <c r="O50" s="223"/>
      <c r="P50" s="223"/>
      <c r="Q50" s="223"/>
      <c r="R50" s="223"/>
      <c r="S50" s="224">
        <v>0.01</v>
      </c>
      <c r="U50" s="193">
        <f t="shared" si="7"/>
        <v>0</v>
      </c>
      <c r="V50" s="140">
        <f>IF(VLOOKUP($N50,'Resumen Items'!$E:$AP,27,0)="",VLOOKUP($N50,'Resumen Items'!$E:$AP,5,0),VLOOKUP($N50,'Resumen Items'!$E:$AP,27,0))</f>
        <v>3</v>
      </c>
      <c r="W50" s="140">
        <f>IF(VLOOKUP($N50,'Resumen Items'!$E:$AP,28,0)="",VLOOKUP($N50,'Resumen Items'!$E:$AP,6,0),VLOOKUP($N50,'Resumen Items'!$E:$AP,28,0))</f>
        <v>3</v>
      </c>
      <c r="X50" s="140">
        <f>IF(VLOOKUP($N50,'Resumen Items'!$E:$AP,29,0)="",VLOOKUP($N50,'Resumen Items'!$E:$AP,7,0),VLOOKUP($N50,'Resumen Items'!$E:$AP,29,0))</f>
        <v>3</v>
      </c>
      <c r="Y50" s="140">
        <f>IF(VLOOKUP($N50,'Resumen Items'!$E:$AP,30,0)="",VLOOKUP($N50,'Resumen Items'!$E:$AP,8,0),VLOOKUP($N50,'Resumen Items'!$E:$AP,30,0))</f>
        <v>3</v>
      </c>
      <c r="Z50" s="193">
        <f t="shared" si="13"/>
        <v>0</v>
      </c>
      <c r="AA50" s="193">
        <f t="shared" si="13"/>
        <v>0</v>
      </c>
      <c r="AB50" s="193">
        <f t="shared" si="13"/>
        <v>0</v>
      </c>
      <c r="AC50" s="193">
        <f t="shared" si="13"/>
        <v>0</v>
      </c>
      <c r="AD50" s="193">
        <f t="shared" si="9"/>
        <v>0</v>
      </c>
      <c r="AE50" s="189">
        <f>IF(VLOOKUP($N50,'Resumen Items'!$E:$AP,27,0)="",VLOOKUP($N50,'Resumen Items'!$E:$AP,4,0),VLOOKUP($N50,'Resumen Items'!$E:$AP,25,0))</f>
        <v>5.0000000000000001E-3</v>
      </c>
      <c r="AG50" s="217">
        <v>0</v>
      </c>
      <c r="AH50" s="217">
        <v>0</v>
      </c>
      <c r="AI50" s="217">
        <v>0</v>
      </c>
      <c r="AJ50" s="217">
        <v>0</v>
      </c>
      <c r="AK50" s="217">
        <v>0</v>
      </c>
      <c r="AL50" s="218">
        <v>5.0000000000000001E-3</v>
      </c>
      <c r="AM50" s="189"/>
      <c r="AN50" s="193">
        <f t="shared" si="10"/>
        <v>0</v>
      </c>
      <c r="AO50" s="193">
        <f t="shared" si="10"/>
        <v>0</v>
      </c>
      <c r="AP50" s="193">
        <f t="shared" si="10"/>
        <v>0</v>
      </c>
      <c r="AQ50" s="193">
        <f t="shared" si="10"/>
        <v>0</v>
      </c>
      <c r="AR50" s="193">
        <f t="shared" si="11"/>
        <v>0</v>
      </c>
      <c r="AT50" s="193" t="str">
        <f t="shared" si="12"/>
        <v>Amarelo</v>
      </c>
      <c r="AU50" s="193" t="str">
        <f t="shared" si="12"/>
        <v>Amarelo</v>
      </c>
      <c r="AV50" s="193" t="str">
        <f t="shared" si="12"/>
        <v>Amarelo</v>
      </c>
      <c r="AW50" s="193" t="str">
        <f t="shared" si="12"/>
        <v>Amarelo</v>
      </c>
    </row>
    <row r="51" spans="10:49" ht="69" x14ac:dyDescent="0.25">
      <c r="J51" s="214" t="s">
        <v>1131</v>
      </c>
      <c r="K51" s="215" t="s">
        <v>14</v>
      </c>
      <c r="L51" s="215" t="s">
        <v>79</v>
      </c>
      <c r="M51" s="215" t="s">
        <v>124</v>
      </c>
      <c r="N51" s="215" t="s">
        <v>141</v>
      </c>
      <c r="O51" s="215"/>
      <c r="P51" s="215"/>
      <c r="Q51" s="215"/>
      <c r="R51" s="215"/>
      <c r="S51" s="216">
        <v>0.02</v>
      </c>
      <c r="U51" s="193">
        <f t="shared" si="7"/>
        <v>0</v>
      </c>
      <c r="V51" s="140">
        <f>IF(VLOOKUP($N51,'Resumen Items'!$E:$AP,27,0)="",VLOOKUP($N51,'Resumen Items'!$E:$AP,5,0),VLOOKUP($N51,'Resumen Items'!$E:$AP,27,0))</f>
        <v>3</v>
      </c>
      <c r="W51" s="140">
        <f>IF(VLOOKUP($N51,'Resumen Items'!$E:$AP,28,0)="",VLOOKUP($N51,'Resumen Items'!$E:$AP,6,0),VLOOKUP($N51,'Resumen Items'!$E:$AP,28,0))</f>
        <v>1</v>
      </c>
      <c r="X51" s="140">
        <f>IF(VLOOKUP($N51,'Resumen Items'!$E:$AP,29,0)="",VLOOKUP($N51,'Resumen Items'!$E:$AP,7,0),VLOOKUP($N51,'Resumen Items'!$E:$AP,29,0))</f>
        <v>3</v>
      </c>
      <c r="Y51" s="140" t="str">
        <f>IF(VLOOKUP($N51,'Resumen Items'!$E:$AP,30,0)="",VLOOKUP($N51,'Resumen Items'!$E:$AP,8,0),VLOOKUP($N51,'Resumen Items'!$E:$AP,30,0))</f>
        <v/>
      </c>
      <c r="Z51" s="193">
        <f t="shared" si="13"/>
        <v>0</v>
      </c>
      <c r="AA51" s="193">
        <f t="shared" si="13"/>
        <v>0</v>
      </c>
      <c r="AB51" s="193">
        <f t="shared" si="13"/>
        <v>0</v>
      </c>
      <c r="AC51" s="193">
        <f t="shared" si="13"/>
        <v>0</v>
      </c>
      <c r="AD51" s="193">
        <f t="shared" si="9"/>
        <v>0</v>
      </c>
      <c r="AE51" s="189">
        <f>IF(VLOOKUP($N51,'Resumen Items'!$E:$AP,27,0)="",VLOOKUP($N51,'Resumen Items'!$E:$AP,4,0),VLOOKUP($N51,'Resumen Items'!$E:$AP,25,0))</f>
        <v>8.0000000000000002E-3</v>
      </c>
      <c r="AG51" s="217">
        <v>0</v>
      </c>
      <c r="AH51" s="217">
        <v>0</v>
      </c>
      <c r="AI51" s="217">
        <v>0</v>
      </c>
      <c r="AJ51" s="217">
        <v>0</v>
      </c>
      <c r="AK51" s="217">
        <v>0</v>
      </c>
      <c r="AL51" s="218">
        <v>1.7000000000000001E-2</v>
      </c>
      <c r="AM51" s="189"/>
      <c r="AN51" s="193">
        <f t="shared" si="10"/>
        <v>0</v>
      </c>
      <c r="AO51" s="193">
        <f t="shared" si="10"/>
        <v>0</v>
      </c>
      <c r="AP51" s="193">
        <f t="shared" si="10"/>
        <v>0</v>
      </c>
      <c r="AQ51" s="193">
        <f t="shared" si="10"/>
        <v>0</v>
      </c>
      <c r="AR51" s="193">
        <f t="shared" si="11"/>
        <v>0</v>
      </c>
      <c r="AT51" s="193" t="str">
        <f t="shared" si="12"/>
        <v>Amarelo</v>
      </c>
      <c r="AU51" s="193" t="str">
        <f t="shared" si="12"/>
        <v/>
      </c>
      <c r="AV51" s="193" t="str">
        <f t="shared" si="12"/>
        <v>Amarelo</v>
      </c>
      <c r="AW51" s="193" t="str">
        <f t="shared" si="12"/>
        <v/>
      </c>
    </row>
    <row r="52" spans="10:49" ht="51.75" x14ac:dyDescent="0.25">
      <c r="J52" s="221" t="s">
        <v>1131</v>
      </c>
      <c r="K52" s="222" t="s">
        <v>14</v>
      </c>
      <c r="L52" s="222" t="s">
        <v>81</v>
      </c>
      <c r="M52" s="222" t="s">
        <v>124</v>
      </c>
      <c r="N52" s="222" t="s">
        <v>142</v>
      </c>
      <c r="O52" s="223"/>
      <c r="P52" s="223"/>
      <c r="Q52" s="223"/>
      <c r="R52" s="223"/>
      <c r="S52" s="224">
        <v>1.4999999999999999E-2</v>
      </c>
      <c r="U52" s="193">
        <f t="shared" si="7"/>
        <v>0</v>
      </c>
      <c r="V52" s="140">
        <f>IF(VLOOKUP($N52,'Resumen Items'!$E:$AP,27,0)="",VLOOKUP($N52,'Resumen Items'!$E:$AP,5,0),VLOOKUP($N52,'Resumen Items'!$E:$AP,27,0))</f>
        <v>3</v>
      </c>
      <c r="W52" s="140">
        <f>IF(VLOOKUP($N52,'Resumen Items'!$E:$AP,28,0)="",VLOOKUP($N52,'Resumen Items'!$E:$AP,6,0),VLOOKUP($N52,'Resumen Items'!$E:$AP,28,0))</f>
        <v>3</v>
      </c>
      <c r="X52" s="140">
        <f>IF(VLOOKUP($N52,'Resumen Items'!$E:$AP,29,0)="",VLOOKUP($N52,'Resumen Items'!$E:$AP,7,0),VLOOKUP($N52,'Resumen Items'!$E:$AP,29,0))</f>
        <v>2</v>
      </c>
      <c r="Y52" s="140" t="str">
        <f>IF(VLOOKUP($N52,'Resumen Items'!$E:$AP,30,0)="",VLOOKUP($N52,'Resumen Items'!$E:$AP,8,0),VLOOKUP($N52,'Resumen Items'!$E:$AP,30,0))</f>
        <v/>
      </c>
      <c r="Z52" s="193">
        <f t="shared" si="13"/>
        <v>0</v>
      </c>
      <c r="AA52" s="193">
        <f t="shared" si="13"/>
        <v>0</v>
      </c>
      <c r="AB52" s="193">
        <f t="shared" si="13"/>
        <v>0</v>
      </c>
      <c r="AC52" s="193">
        <f t="shared" si="13"/>
        <v>0</v>
      </c>
      <c r="AD52" s="193">
        <f t="shared" si="9"/>
        <v>0</v>
      </c>
      <c r="AE52" s="189">
        <f>IF(VLOOKUP($N52,'Resumen Items'!$E:$AP,27,0)="",VLOOKUP($N52,'Resumen Items'!$E:$AP,4,0),VLOOKUP($N52,'Resumen Items'!$E:$AP,25,0))</f>
        <v>1.0499999999999999E-2</v>
      </c>
      <c r="AG52" s="217">
        <v>0</v>
      </c>
      <c r="AH52" s="217">
        <v>0</v>
      </c>
      <c r="AI52" s="217">
        <v>0</v>
      </c>
      <c r="AJ52" s="217">
        <v>0</v>
      </c>
      <c r="AK52" s="217">
        <v>0</v>
      </c>
      <c r="AL52" s="218">
        <v>1.4999999999999999E-2</v>
      </c>
      <c r="AM52" s="189"/>
      <c r="AN52" s="193">
        <f t="shared" si="10"/>
        <v>0</v>
      </c>
      <c r="AO52" s="193">
        <f t="shared" si="10"/>
        <v>0</v>
      </c>
      <c r="AP52" s="193">
        <f t="shared" si="10"/>
        <v>0</v>
      </c>
      <c r="AQ52" s="193">
        <f t="shared" si="10"/>
        <v>0</v>
      </c>
      <c r="AR52" s="193">
        <f t="shared" si="11"/>
        <v>0</v>
      </c>
      <c r="AT52" s="193" t="str">
        <f t="shared" si="12"/>
        <v>Amarelo</v>
      </c>
      <c r="AU52" s="193" t="str">
        <f t="shared" si="12"/>
        <v>Amarelo</v>
      </c>
      <c r="AV52" s="193" t="str">
        <f t="shared" si="12"/>
        <v/>
      </c>
      <c r="AW52" s="193" t="str">
        <f t="shared" si="12"/>
        <v/>
      </c>
    </row>
    <row r="53" spans="10:49" ht="34.5" x14ac:dyDescent="0.25">
      <c r="J53" s="214" t="s">
        <v>1131</v>
      </c>
      <c r="K53" s="215" t="s">
        <v>14</v>
      </c>
      <c r="L53" s="215" t="s">
        <v>83</v>
      </c>
      <c r="M53" s="215" t="s">
        <v>124</v>
      </c>
      <c r="N53" s="215" t="s">
        <v>143</v>
      </c>
      <c r="O53" s="215" t="s">
        <v>260</v>
      </c>
      <c r="P53" s="215" t="s">
        <v>260</v>
      </c>
      <c r="Q53" s="215" t="s">
        <v>260</v>
      </c>
      <c r="R53" s="215" t="s">
        <v>260</v>
      </c>
      <c r="S53" s="216">
        <v>1.4999999999999999E-2</v>
      </c>
      <c r="U53" s="193">
        <f t="shared" si="7"/>
        <v>4</v>
      </c>
      <c r="V53" s="140">
        <f>IF(VLOOKUP($N53,'Resumen Items'!$E:$AP,27,0)="",VLOOKUP($N53,'Resumen Items'!$E:$AP,5,0),VLOOKUP($N53,'Resumen Items'!$E:$AP,27,0))</f>
        <v>3</v>
      </c>
      <c r="W53" s="140">
        <f>IF(VLOOKUP($N53,'Resumen Items'!$E:$AP,28,0)="",VLOOKUP($N53,'Resumen Items'!$E:$AP,6,0),VLOOKUP($N53,'Resumen Items'!$E:$AP,28,0))</f>
        <v>3</v>
      </c>
      <c r="X53" s="140">
        <f>IF(VLOOKUP($N53,'Resumen Items'!$E:$AP,29,0)="",VLOOKUP($N53,'Resumen Items'!$E:$AP,7,0),VLOOKUP($N53,'Resumen Items'!$E:$AP,29,0))</f>
        <v>3</v>
      </c>
      <c r="Y53" s="140" t="str">
        <f>IF(VLOOKUP($N53,'Resumen Items'!$E:$AP,30,0)="",VLOOKUP($N53,'Resumen Items'!$E:$AP,8,0),VLOOKUP($N53,'Resumen Items'!$E:$AP,30,0))</f>
        <v/>
      </c>
      <c r="Z53" s="193">
        <f t="shared" si="13"/>
        <v>1</v>
      </c>
      <c r="AA53" s="193">
        <f t="shared" si="13"/>
        <v>1</v>
      </c>
      <c r="AB53" s="193">
        <f t="shared" si="13"/>
        <v>1</v>
      </c>
      <c r="AC53" s="193">
        <f t="shared" si="13"/>
        <v>0</v>
      </c>
      <c r="AD53" s="193">
        <f t="shared" si="9"/>
        <v>3</v>
      </c>
      <c r="AE53" s="189">
        <f>IF(VLOOKUP($N53,'Resumen Items'!$E:$AP,27,0)="",VLOOKUP($N53,'Resumen Items'!$E:$AP,4,0),VLOOKUP($N53,'Resumen Items'!$E:$AP,25,0))</f>
        <v>1.2749999999999999E-2</v>
      </c>
      <c r="AG53" s="217">
        <v>1</v>
      </c>
      <c r="AH53" s="217">
        <v>1</v>
      </c>
      <c r="AI53" s="217">
        <v>1</v>
      </c>
      <c r="AJ53" s="217">
        <v>0</v>
      </c>
      <c r="AK53" s="217">
        <v>3</v>
      </c>
      <c r="AL53" s="218">
        <v>6.0000000000000001E-3</v>
      </c>
      <c r="AM53" s="189"/>
      <c r="AN53" s="193">
        <f t="shared" si="10"/>
        <v>0</v>
      </c>
      <c r="AO53" s="193">
        <f t="shared" si="10"/>
        <v>0</v>
      </c>
      <c r="AP53" s="193">
        <f t="shared" si="10"/>
        <v>0</v>
      </c>
      <c r="AQ53" s="193">
        <f t="shared" si="10"/>
        <v>0</v>
      </c>
      <c r="AR53" s="193">
        <f t="shared" si="11"/>
        <v>0</v>
      </c>
      <c r="AT53" s="193" t="str">
        <f t="shared" si="12"/>
        <v>Verde</v>
      </c>
      <c r="AU53" s="193" t="str">
        <f t="shared" si="12"/>
        <v>Verde</v>
      </c>
      <c r="AV53" s="193" t="str">
        <f t="shared" si="12"/>
        <v>Verde</v>
      </c>
      <c r="AW53" s="193" t="str">
        <f t="shared" si="12"/>
        <v/>
      </c>
    </row>
    <row r="54" spans="10:49" ht="34.5" x14ac:dyDescent="0.25">
      <c r="J54" s="221" t="s">
        <v>1131</v>
      </c>
      <c r="K54" s="222" t="s">
        <v>14</v>
      </c>
      <c r="L54" s="222" t="s">
        <v>85</v>
      </c>
      <c r="M54" s="222" t="s">
        <v>144</v>
      </c>
      <c r="N54" s="222" t="s">
        <v>145</v>
      </c>
      <c r="O54" s="223"/>
      <c r="P54" s="223" t="s">
        <v>260</v>
      </c>
      <c r="Q54" s="223" t="s">
        <v>260</v>
      </c>
      <c r="R54" s="223"/>
      <c r="S54" s="224">
        <v>0.02</v>
      </c>
      <c r="U54" s="193">
        <f t="shared" si="7"/>
        <v>2</v>
      </c>
      <c r="V54" s="140">
        <f>IF(VLOOKUP($N54,'Resumen Items'!$E:$AP,27,0)="",VLOOKUP($N54,'Resumen Items'!$E:$AP,5,0),VLOOKUP($N54,'Resumen Items'!$E:$AP,27,0))</f>
        <v>3</v>
      </c>
      <c r="W54" s="140">
        <f>IF(VLOOKUP($N54,'Resumen Items'!$E:$AP,28,0)="",VLOOKUP($N54,'Resumen Items'!$E:$AP,6,0),VLOOKUP($N54,'Resumen Items'!$E:$AP,28,0))</f>
        <v>3</v>
      </c>
      <c r="X54" s="140" t="str">
        <f>IF(VLOOKUP($N54,'Resumen Items'!$E:$AP,29,0)="",VLOOKUP($N54,'Resumen Items'!$E:$AP,7,0),VLOOKUP($N54,'Resumen Items'!$E:$AP,29,0))</f>
        <v/>
      </c>
      <c r="Y54" s="140" t="str">
        <f>IF(VLOOKUP($N54,'Resumen Items'!$E:$AP,30,0)="",VLOOKUP($N54,'Resumen Items'!$E:$AP,8,0),VLOOKUP($N54,'Resumen Items'!$E:$AP,30,0))</f>
        <v/>
      </c>
      <c r="Z54" s="193">
        <f t="shared" si="13"/>
        <v>0</v>
      </c>
      <c r="AA54" s="193">
        <f t="shared" si="13"/>
        <v>1</v>
      </c>
      <c r="AB54" s="193">
        <f t="shared" si="13"/>
        <v>0</v>
      </c>
      <c r="AC54" s="193">
        <f t="shared" si="13"/>
        <v>0</v>
      </c>
      <c r="AD54" s="193">
        <f t="shared" si="9"/>
        <v>1</v>
      </c>
      <c r="AE54" s="189">
        <f>IF(VLOOKUP($N54,'Resumen Items'!$E:$AP,27,0)="",VLOOKUP($N54,'Resumen Items'!$E:$AP,4,0),VLOOKUP($N54,'Resumen Items'!$E:$AP,25,0))</f>
        <v>1.3999999999999999E-2</v>
      </c>
      <c r="AG54" s="217">
        <v>0</v>
      </c>
      <c r="AH54" s="217">
        <v>1</v>
      </c>
      <c r="AI54" s="217">
        <v>0</v>
      </c>
      <c r="AJ54" s="217">
        <v>0</v>
      </c>
      <c r="AK54" s="217">
        <v>1</v>
      </c>
      <c r="AL54" s="218">
        <v>0.02</v>
      </c>
      <c r="AM54" s="189"/>
      <c r="AN54" s="193">
        <f t="shared" si="10"/>
        <v>0</v>
      </c>
      <c r="AO54" s="193">
        <f t="shared" si="10"/>
        <v>0</v>
      </c>
      <c r="AP54" s="193">
        <f t="shared" si="10"/>
        <v>0</v>
      </c>
      <c r="AQ54" s="193">
        <f t="shared" si="10"/>
        <v>0</v>
      </c>
      <c r="AR54" s="193">
        <f t="shared" si="11"/>
        <v>0</v>
      </c>
      <c r="AT54" s="193" t="str">
        <f t="shared" si="12"/>
        <v>Amarelo</v>
      </c>
      <c r="AU54" s="193" t="str">
        <f t="shared" si="12"/>
        <v>Verde</v>
      </c>
      <c r="AV54" s="193" t="str">
        <f t="shared" si="12"/>
        <v/>
      </c>
      <c r="AW54" s="193" t="str">
        <f t="shared" si="12"/>
        <v/>
      </c>
    </row>
    <row r="55" spans="10:49" ht="34.5" x14ac:dyDescent="0.25">
      <c r="J55" s="214" t="s">
        <v>1131</v>
      </c>
      <c r="K55" s="215" t="s">
        <v>14</v>
      </c>
      <c r="L55" s="215" t="s">
        <v>88</v>
      </c>
      <c r="M55" s="215" t="s">
        <v>144</v>
      </c>
      <c r="N55" s="215" t="s">
        <v>146</v>
      </c>
      <c r="O55" s="215"/>
      <c r="P55" s="215" t="s">
        <v>260</v>
      </c>
      <c r="Q55" s="215" t="s">
        <v>260</v>
      </c>
      <c r="R55" s="215"/>
      <c r="S55" s="216">
        <v>1.4999999999999999E-2</v>
      </c>
      <c r="U55" s="193">
        <f t="shared" si="7"/>
        <v>2</v>
      </c>
      <c r="V55" s="140">
        <f>IF(VLOOKUP($N55,'Resumen Items'!$E:$AP,27,0)="",VLOOKUP($N55,'Resumen Items'!$E:$AP,5,0),VLOOKUP($N55,'Resumen Items'!$E:$AP,27,0))</f>
        <v>3</v>
      </c>
      <c r="W55" s="140">
        <f>IF(VLOOKUP($N55,'Resumen Items'!$E:$AP,28,0)="",VLOOKUP($N55,'Resumen Items'!$E:$AP,6,0),VLOOKUP($N55,'Resumen Items'!$E:$AP,28,0))</f>
        <v>3</v>
      </c>
      <c r="X55" s="140" t="str">
        <f>IF(VLOOKUP($N55,'Resumen Items'!$E:$AP,29,0)="",VLOOKUP($N55,'Resumen Items'!$E:$AP,7,0),VLOOKUP($N55,'Resumen Items'!$E:$AP,29,0))</f>
        <v/>
      </c>
      <c r="Y55" s="140" t="str">
        <f>IF(VLOOKUP($N55,'Resumen Items'!$E:$AP,30,0)="",VLOOKUP($N55,'Resumen Items'!$E:$AP,8,0),VLOOKUP($N55,'Resumen Items'!$E:$AP,30,0))</f>
        <v/>
      </c>
      <c r="Z55" s="193">
        <f t="shared" si="13"/>
        <v>0</v>
      </c>
      <c r="AA55" s="193">
        <f t="shared" si="13"/>
        <v>1</v>
      </c>
      <c r="AB55" s="193">
        <f t="shared" si="13"/>
        <v>0</v>
      </c>
      <c r="AC55" s="193">
        <f t="shared" si="13"/>
        <v>0</v>
      </c>
      <c r="AD55" s="193">
        <f t="shared" si="9"/>
        <v>1</v>
      </c>
      <c r="AE55" s="189">
        <f>IF(VLOOKUP($N55,'Resumen Items'!$E:$AP,27,0)="",VLOOKUP($N55,'Resumen Items'!$E:$AP,4,0),VLOOKUP($N55,'Resumen Items'!$E:$AP,25,0))</f>
        <v>1.0499999999999999E-2</v>
      </c>
      <c r="AG55" s="217">
        <v>0</v>
      </c>
      <c r="AH55" s="217">
        <v>1</v>
      </c>
      <c r="AI55" s="217">
        <v>0</v>
      </c>
      <c r="AJ55" s="217">
        <v>0</v>
      </c>
      <c r="AK55" s="217">
        <v>1</v>
      </c>
      <c r="AL55" s="218">
        <v>1.4999999999999999E-2</v>
      </c>
      <c r="AM55" s="189"/>
      <c r="AN55" s="193">
        <f t="shared" si="10"/>
        <v>0</v>
      </c>
      <c r="AO55" s="193">
        <f t="shared" si="10"/>
        <v>0</v>
      </c>
      <c r="AP55" s="193">
        <f t="shared" si="10"/>
        <v>0</v>
      </c>
      <c r="AQ55" s="193">
        <f t="shared" si="10"/>
        <v>0</v>
      </c>
      <c r="AR55" s="193">
        <f t="shared" si="11"/>
        <v>0</v>
      </c>
      <c r="AT55" s="193" t="str">
        <f t="shared" si="12"/>
        <v>Amarelo</v>
      </c>
      <c r="AU55" s="193" t="str">
        <f t="shared" si="12"/>
        <v>Verde</v>
      </c>
      <c r="AV55" s="193" t="str">
        <f t="shared" si="12"/>
        <v/>
      </c>
      <c r="AW55" s="193" t="str">
        <f t="shared" si="12"/>
        <v/>
      </c>
    </row>
    <row r="56" spans="10:49" ht="34.5" x14ac:dyDescent="0.25">
      <c r="J56" s="221" t="s">
        <v>1131</v>
      </c>
      <c r="K56" s="222" t="s">
        <v>14</v>
      </c>
      <c r="L56" s="222" t="s">
        <v>90</v>
      </c>
      <c r="M56" s="222" t="s">
        <v>144</v>
      </c>
      <c r="N56" s="222" t="s">
        <v>147</v>
      </c>
      <c r="O56" s="223"/>
      <c r="P56" s="223" t="s">
        <v>260</v>
      </c>
      <c r="Q56" s="223" t="s">
        <v>260</v>
      </c>
      <c r="R56" s="223"/>
      <c r="S56" s="224">
        <v>0.02</v>
      </c>
      <c r="U56" s="193">
        <f t="shared" si="7"/>
        <v>2</v>
      </c>
      <c r="V56" s="140">
        <f>IF(VLOOKUP($N56,'Resumen Items'!$E:$AP,27,0)="",VLOOKUP($N56,'Resumen Items'!$E:$AP,5,0),VLOOKUP($N56,'Resumen Items'!$E:$AP,27,0))</f>
        <v>3</v>
      </c>
      <c r="W56" s="140">
        <f>IF(VLOOKUP($N56,'Resumen Items'!$E:$AP,28,0)="",VLOOKUP($N56,'Resumen Items'!$E:$AP,6,0),VLOOKUP($N56,'Resumen Items'!$E:$AP,28,0))</f>
        <v>3</v>
      </c>
      <c r="X56" s="140" t="str">
        <f>IF(VLOOKUP($N56,'Resumen Items'!$E:$AP,29,0)="",VLOOKUP($N56,'Resumen Items'!$E:$AP,7,0),VLOOKUP($N56,'Resumen Items'!$E:$AP,29,0))</f>
        <v/>
      </c>
      <c r="Y56" s="140" t="str">
        <f>IF(VLOOKUP($N56,'Resumen Items'!$E:$AP,30,0)="",VLOOKUP($N56,'Resumen Items'!$E:$AP,8,0),VLOOKUP($N56,'Resumen Items'!$E:$AP,30,0))</f>
        <v/>
      </c>
      <c r="Z56" s="193">
        <f t="shared" si="13"/>
        <v>0</v>
      </c>
      <c r="AA56" s="193">
        <f t="shared" si="13"/>
        <v>1</v>
      </c>
      <c r="AB56" s="193">
        <f t="shared" si="13"/>
        <v>0</v>
      </c>
      <c r="AC56" s="193">
        <f t="shared" si="13"/>
        <v>0</v>
      </c>
      <c r="AD56" s="193">
        <f t="shared" si="9"/>
        <v>1</v>
      </c>
      <c r="AE56" s="189">
        <f>IF(VLOOKUP($N56,'Resumen Items'!$E:$AP,27,0)="",VLOOKUP($N56,'Resumen Items'!$E:$AP,4,0),VLOOKUP($N56,'Resumen Items'!$E:$AP,25,0))</f>
        <v>1.3999999999999999E-2</v>
      </c>
      <c r="AG56" s="217">
        <v>0</v>
      </c>
      <c r="AH56" s="217">
        <v>1</v>
      </c>
      <c r="AI56" s="217">
        <v>0</v>
      </c>
      <c r="AJ56" s="217">
        <v>0</v>
      </c>
      <c r="AK56" s="217">
        <v>1</v>
      </c>
      <c r="AL56" s="218">
        <v>1.3999999999999999E-2</v>
      </c>
      <c r="AM56" s="189"/>
      <c r="AN56" s="193">
        <f t="shared" si="10"/>
        <v>0</v>
      </c>
      <c r="AO56" s="193">
        <f t="shared" si="10"/>
        <v>0</v>
      </c>
      <c r="AP56" s="193">
        <f t="shared" si="10"/>
        <v>0</v>
      </c>
      <c r="AQ56" s="193">
        <f t="shared" si="10"/>
        <v>0</v>
      </c>
      <c r="AR56" s="193">
        <f t="shared" si="11"/>
        <v>0</v>
      </c>
      <c r="AT56" s="193" t="str">
        <f t="shared" si="12"/>
        <v>Amarelo</v>
      </c>
      <c r="AU56" s="193" t="str">
        <f t="shared" si="12"/>
        <v>Verde</v>
      </c>
      <c r="AV56" s="193" t="str">
        <f t="shared" si="12"/>
        <v/>
      </c>
      <c r="AW56" s="193" t="str">
        <f t="shared" si="12"/>
        <v/>
      </c>
    </row>
    <row r="57" spans="10:49" ht="34.5" x14ac:dyDescent="0.25">
      <c r="J57" s="214" t="s">
        <v>1131</v>
      </c>
      <c r="K57" s="215" t="s">
        <v>14</v>
      </c>
      <c r="L57" s="215" t="s">
        <v>93</v>
      </c>
      <c r="M57" s="215" t="s">
        <v>148</v>
      </c>
      <c r="N57" s="215" t="s">
        <v>149</v>
      </c>
      <c r="O57" s="215" t="s">
        <v>260</v>
      </c>
      <c r="P57" s="215" t="s">
        <v>260</v>
      </c>
      <c r="Q57" s="215" t="s">
        <v>260</v>
      </c>
      <c r="R57" s="215"/>
      <c r="S57" s="216">
        <v>0.02</v>
      </c>
      <c r="U57" s="193">
        <f t="shared" si="7"/>
        <v>3</v>
      </c>
      <c r="V57" s="140">
        <f>IF(VLOOKUP($N57,'Resumen Items'!$E:$AP,27,0)="",VLOOKUP($N57,'Resumen Items'!$E:$AP,5,0),VLOOKUP($N57,'Resumen Items'!$E:$AP,27,0))</f>
        <v>3</v>
      </c>
      <c r="W57" s="140">
        <f>IF(VLOOKUP($N57,'Resumen Items'!$E:$AP,28,0)="",VLOOKUP($N57,'Resumen Items'!$E:$AP,6,0),VLOOKUP($N57,'Resumen Items'!$E:$AP,28,0))</f>
        <v>3</v>
      </c>
      <c r="X57" s="140">
        <f>IF(VLOOKUP($N57,'Resumen Items'!$E:$AP,29,0)="",VLOOKUP($N57,'Resumen Items'!$E:$AP,7,0),VLOOKUP($N57,'Resumen Items'!$E:$AP,29,0))</f>
        <v>2</v>
      </c>
      <c r="Y57" s="140">
        <f>IF(VLOOKUP($N57,'Resumen Items'!$E:$AP,30,0)="",VLOOKUP($N57,'Resumen Items'!$E:$AP,8,0),VLOOKUP($N57,'Resumen Items'!$E:$AP,30,0))</f>
        <v>2</v>
      </c>
      <c r="Z57" s="193">
        <f t="shared" si="13"/>
        <v>1</v>
      </c>
      <c r="AA57" s="193">
        <f t="shared" si="13"/>
        <v>1</v>
      </c>
      <c r="AB57" s="193">
        <f t="shared" si="13"/>
        <v>0</v>
      </c>
      <c r="AC57" s="193">
        <f t="shared" si="13"/>
        <v>0</v>
      </c>
      <c r="AD57" s="193">
        <f t="shared" si="9"/>
        <v>2</v>
      </c>
      <c r="AE57" s="189">
        <f>IF(VLOOKUP($N57,'Resumen Items'!$E:$AP,27,0)="",VLOOKUP($N57,'Resumen Items'!$E:$AP,4,0),VLOOKUP($N57,'Resumen Items'!$E:$AP,25,0))</f>
        <v>1.3999999999999999E-2</v>
      </c>
      <c r="AG57" s="217">
        <v>1</v>
      </c>
      <c r="AH57" s="217">
        <v>1</v>
      </c>
      <c r="AI57" s="217">
        <v>1</v>
      </c>
      <c r="AJ57" s="217">
        <v>0</v>
      </c>
      <c r="AK57" s="217">
        <v>3</v>
      </c>
      <c r="AL57" s="218">
        <v>8.0000000000000002E-3</v>
      </c>
      <c r="AM57" s="189"/>
      <c r="AN57" s="193">
        <f t="shared" si="10"/>
        <v>0</v>
      </c>
      <c r="AO57" s="193">
        <f t="shared" si="10"/>
        <v>0</v>
      </c>
      <c r="AP57" s="193">
        <f t="shared" si="10"/>
        <v>1</v>
      </c>
      <c r="AQ57" s="193">
        <f t="shared" si="10"/>
        <v>0</v>
      </c>
      <c r="AR57" s="193">
        <f t="shared" si="11"/>
        <v>1</v>
      </c>
      <c r="AT57" s="193" t="str">
        <f t="shared" si="12"/>
        <v>Verde</v>
      </c>
      <c r="AU57" s="193" t="str">
        <f t="shared" si="12"/>
        <v>Verde</v>
      </c>
      <c r="AV57" s="193" t="str">
        <f t="shared" si="12"/>
        <v>Laranja</v>
      </c>
      <c r="AW57" s="193" t="str">
        <f t="shared" si="12"/>
        <v/>
      </c>
    </row>
    <row r="58" spans="10:49" ht="51.75" x14ac:dyDescent="0.25">
      <c r="J58" s="221" t="s">
        <v>1131</v>
      </c>
      <c r="K58" s="222" t="s">
        <v>14</v>
      </c>
      <c r="L58" s="222" t="s">
        <v>95</v>
      </c>
      <c r="M58" s="222" t="s">
        <v>148</v>
      </c>
      <c r="N58" s="222" t="s">
        <v>150</v>
      </c>
      <c r="O58" s="223" t="s">
        <v>260</v>
      </c>
      <c r="P58" s="223" t="s">
        <v>260</v>
      </c>
      <c r="Q58" s="223" t="s">
        <v>260</v>
      </c>
      <c r="R58" s="223" t="s">
        <v>260</v>
      </c>
      <c r="S58" s="224">
        <v>2.5000000000000001E-2</v>
      </c>
      <c r="U58" s="193">
        <f t="shared" si="7"/>
        <v>4</v>
      </c>
      <c r="V58" s="140">
        <f>IF(VLOOKUP($N58,'Resumen Items'!$E:$AP,27,0)="",VLOOKUP($N58,'Resumen Items'!$E:$AP,5,0),VLOOKUP($N58,'Resumen Items'!$E:$AP,27,0))</f>
        <v>3</v>
      </c>
      <c r="W58" s="140">
        <f>IF(VLOOKUP($N58,'Resumen Items'!$E:$AP,28,0)="",VLOOKUP($N58,'Resumen Items'!$E:$AP,6,0),VLOOKUP($N58,'Resumen Items'!$E:$AP,28,0))</f>
        <v>3</v>
      </c>
      <c r="X58" s="140">
        <f>IF(VLOOKUP($N58,'Resumen Items'!$E:$AP,29,0)="",VLOOKUP($N58,'Resumen Items'!$E:$AP,7,0),VLOOKUP($N58,'Resumen Items'!$E:$AP,29,0))</f>
        <v>2</v>
      </c>
      <c r="Y58" s="140">
        <f>IF(VLOOKUP($N58,'Resumen Items'!$E:$AP,30,0)="",VLOOKUP($N58,'Resumen Items'!$E:$AP,8,0),VLOOKUP($N58,'Resumen Items'!$E:$AP,30,0))</f>
        <v>3</v>
      </c>
      <c r="Z58" s="193">
        <f t="shared" si="13"/>
        <v>1</v>
      </c>
      <c r="AA58" s="193">
        <f t="shared" si="13"/>
        <v>1</v>
      </c>
      <c r="AB58" s="193">
        <f t="shared" si="13"/>
        <v>0</v>
      </c>
      <c r="AC58" s="193">
        <f t="shared" si="13"/>
        <v>1</v>
      </c>
      <c r="AD58" s="193">
        <f t="shared" si="9"/>
        <v>3</v>
      </c>
      <c r="AE58" s="189">
        <f>IF(VLOOKUP($N58,'Resumen Items'!$E:$AP,27,0)="",VLOOKUP($N58,'Resumen Items'!$E:$AP,4,0),VLOOKUP($N58,'Resumen Items'!$E:$AP,25,0))</f>
        <v>1.7499999999999998E-2</v>
      </c>
      <c r="AG58" s="217">
        <v>1</v>
      </c>
      <c r="AH58" s="217">
        <v>1</v>
      </c>
      <c r="AI58" s="217">
        <v>1</v>
      </c>
      <c r="AJ58" s="217">
        <v>1</v>
      </c>
      <c r="AK58" s="217">
        <v>4</v>
      </c>
      <c r="AL58" s="218">
        <v>1.0000000000000002E-2</v>
      </c>
      <c r="AM58" s="189"/>
      <c r="AN58" s="193">
        <f t="shared" si="10"/>
        <v>0</v>
      </c>
      <c r="AO58" s="193">
        <f t="shared" si="10"/>
        <v>0</v>
      </c>
      <c r="AP58" s="193">
        <f t="shared" si="10"/>
        <v>1</v>
      </c>
      <c r="AQ58" s="193">
        <f t="shared" si="10"/>
        <v>0</v>
      </c>
      <c r="AR58" s="193">
        <f t="shared" si="11"/>
        <v>1</v>
      </c>
      <c r="AT58" s="193" t="str">
        <f t="shared" si="12"/>
        <v>Verde</v>
      </c>
      <c r="AU58" s="193" t="str">
        <f t="shared" si="12"/>
        <v>Verde</v>
      </c>
      <c r="AV58" s="193" t="str">
        <f t="shared" si="12"/>
        <v>Laranja</v>
      </c>
      <c r="AW58" s="193" t="str">
        <f t="shared" si="12"/>
        <v>Verde</v>
      </c>
    </row>
    <row r="59" spans="10:49" ht="34.5" x14ac:dyDescent="0.25">
      <c r="J59" s="214" t="s">
        <v>1131</v>
      </c>
      <c r="K59" s="215" t="s">
        <v>14</v>
      </c>
      <c r="L59" s="215" t="s">
        <v>97</v>
      </c>
      <c r="M59" s="215" t="s">
        <v>148</v>
      </c>
      <c r="N59" s="215" t="s">
        <v>151</v>
      </c>
      <c r="O59" s="215"/>
      <c r="P59" s="215" t="s">
        <v>260</v>
      </c>
      <c r="Q59" s="215" t="s">
        <v>260</v>
      </c>
      <c r="R59" s="215"/>
      <c r="S59" s="216">
        <v>0.02</v>
      </c>
      <c r="U59" s="193">
        <f t="shared" si="7"/>
        <v>2</v>
      </c>
      <c r="V59" s="140">
        <f>IF(VLOOKUP($N59,'Resumen Items'!$E:$AP,27,0)="",VLOOKUP($N59,'Resumen Items'!$E:$AP,5,0),VLOOKUP($N59,'Resumen Items'!$E:$AP,27,0))</f>
        <v>3</v>
      </c>
      <c r="W59" s="140">
        <f>IF(VLOOKUP($N59,'Resumen Items'!$E:$AP,28,0)="",VLOOKUP($N59,'Resumen Items'!$E:$AP,6,0),VLOOKUP($N59,'Resumen Items'!$E:$AP,28,0))</f>
        <v>3</v>
      </c>
      <c r="X59" s="140" t="str">
        <f>IF(VLOOKUP($N59,'Resumen Items'!$E:$AP,29,0)="",VLOOKUP($N59,'Resumen Items'!$E:$AP,7,0),VLOOKUP($N59,'Resumen Items'!$E:$AP,29,0))</f>
        <v/>
      </c>
      <c r="Y59" s="140" t="str">
        <f>IF(VLOOKUP($N59,'Resumen Items'!$E:$AP,30,0)="",VLOOKUP($N59,'Resumen Items'!$E:$AP,8,0),VLOOKUP($N59,'Resumen Items'!$E:$AP,30,0))</f>
        <v/>
      </c>
      <c r="Z59" s="193">
        <f t="shared" si="13"/>
        <v>0</v>
      </c>
      <c r="AA59" s="193">
        <f t="shared" si="13"/>
        <v>1</v>
      </c>
      <c r="AB59" s="193">
        <f t="shared" si="13"/>
        <v>0</v>
      </c>
      <c r="AC59" s="193">
        <f t="shared" si="13"/>
        <v>0</v>
      </c>
      <c r="AD59" s="193">
        <f t="shared" si="9"/>
        <v>1</v>
      </c>
      <c r="AE59" s="189">
        <f>IF(VLOOKUP($N59,'Resumen Items'!$E:$AP,27,0)="",VLOOKUP($N59,'Resumen Items'!$E:$AP,4,0),VLOOKUP($N59,'Resumen Items'!$E:$AP,25,0))</f>
        <v>1.3999999999999999E-2</v>
      </c>
      <c r="AG59" s="217">
        <v>0</v>
      </c>
      <c r="AH59" s="217">
        <v>1</v>
      </c>
      <c r="AI59" s="217">
        <v>0</v>
      </c>
      <c r="AJ59" s="217">
        <v>0</v>
      </c>
      <c r="AK59" s="217">
        <v>1</v>
      </c>
      <c r="AL59" s="218">
        <v>0.02</v>
      </c>
      <c r="AM59" s="189"/>
      <c r="AN59" s="193">
        <f t="shared" si="10"/>
        <v>0</v>
      </c>
      <c r="AO59" s="193">
        <f t="shared" si="10"/>
        <v>0</v>
      </c>
      <c r="AP59" s="193">
        <f t="shared" si="10"/>
        <v>0</v>
      </c>
      <c r="AQ59" s="193">
        <f t="shared" si="10"/>
        <v>0</v>
      </c>
      <c r="AR59" s="193">
        <f t="shared" si="11"/>
        <v>0</v>
      </c>
      <c r="AT59" s="193" t="str">
        <f t="shared" si="12"/>
        <v>Amarelo</v>
      </c>
      <c r="AU59" s="193" t="str">
        <f t="shared" si="12"/>
        <v>Verde</v>
      </c>
      <c r="AV59" s="193" t="str">
        <f t="shared" si="12"/>
        <v/>
      </c>
      <c r="AW59" s="193" t="str">
        <f t="shared" si="12"/>
        <v/>
      </c>
    </row>
    <row r="60" spans="10:49" ht="34.5" x14ac:dyDescent="0.25">
      <c r="J60" s="221" t="s">
        <v>1131</v>
      </c>
      <c r="K60" s="222" t="s">
        <v>14</v>
      </c>
      <c r="L60" s="222" t="s">
        <v>100</v>
      </c>
      <c r="M60" s="222" t="s">
        <v>152</v>
      </c>
      <c r="N60" s="222" t="s">
        <v>153</v>
      </c>
      <c r="O60" s="223"/>
      <c r="P60" s="223" t="s">
        <v>260</v>
      </c>
      <c r="Q60" s="223"/>
      <c r="R60" s="223" t="s">
        <v>260</v>
      </c>
      <c r="S60" s="224">
        <v>0.02</v>
      </c>
      <c r="U60" s="193">
        <f t="shared" si="7"/>
        <v>2</v>
      </c>
      <c r="V60" s="140">
        <f>IF(VLOOKUP($N60,'Resumen Items'!$E:$AP,27,0)="",VLOOKUP($N60,'Resumen Items'!$E:$AP,5,0),VLOOKUP($N60,'Resumen Items'!$E:$AP,27,0))</f>
        <v>3</v>
      </c>
      <c r="W60" s="140">
        <f>IF(VLOOKUP($N60,'Resumen Items'!$E:$AP,28,0)="",VLOOKUP($N60,'Resumen Items'!$E:$AP,6,0),VLOOKUP($N60,'Resumen Items'!$E:$AP,28,0))</f>
        <v>3</v>
      </c>
      <c r="X60" s="140" t="str">
        <f>IF(VLOOKUP($N60,'Resumen Items'!$E:$AP,29,0)="",VLOOKUP($N60,'Resumen Items'!$E:$AP,7,0),VLOOKUP($N60,'Resumen Items'!$E:$AP,29,0))</f>
        <v/>
      </c>
      <c r="Y60" s="140">
        <f>IF(VLOOKUP($N60,'Resumen Items'!$E:$AP,30,0)="",VLOOKUP($N60,'Resumen Items'!$E:$AP,8,0),VLOOKUP($N60,'Resumen Items'!$E:$AP,30,0))</f>
        <v>3</v>
      </c>
      <c r="Z60" s="193">
        <f t="shared" si="13"/>
        <v>0</v>
      </c>
      <c r="AA60" s="193">
        <f t="shared" si="13"/>
        <v>1</v>
      </c>
      <c r="AB60" s="193">
        <f t="shared" si="13"/>
        <v>0</v>
      </c>
      <c r="AC60" s="193">
        <f t="shared" si="13"/>
        <v>1</v>
      </c>
      <c r="AD60" s="193">
        <f t="shared" si="9"/>
        <v>2</v>
      </c>
      <c r="AE60" s="189">
        <f>IF(VLOOKUP($N60,'Resumen Items'!$E:$AP,27,0)="",VLOOKUP($N60,'Resumen Items'!$E:$AP,4,0),VLOOKUP($N60,'Resumen Items'!$E:$AP,25,0))</f>
        <v>1.3999999999999999E-2</v>
      </c>
      <c r="AG60" s="217">
        <v>0</v>
      </c>
      <c r="AH60" s="217">
        <v>1</v>
      </c>
      <c r="AI60" s="217">
        <v>0</v>
      </c>
      <c r="AJ60" s="217">
        <v>1</v>
      </c>
      <c r="AK60" s="217">
        <v>2</v>
      </c>
      <c r="AL60" s="218">
        <v>0.02</v>
      </c>
      <c r="AM60" s="189"/>
      <c r="AN60" s="193">
        <f t="shared" si="10"/>
        <v>0</v>
      </c>
      <c r="AO60" s="193">
        <f t="shared" si="10"/>
        <v>0</v>
      </c>
      <c r="AP60" s="193">
        <f t="shared" si="10"/>
        <v>0</v>
      </c>
      <c r="AQ60" s="193">
        <f t="shared" si="10"/>
        <v>0</v>
      </c>
      <c r="AR60" s="193">
        <f t="shared" si="11"/>
        <v>0</v>
      </c>
      <c r="AT60" s="193" t="str">
        <f t="shared" si="12"/>
        <v>Amarelo</v>
      </c>
      <c r="AU60" s="193" t="str">
        <f t="shared" si="12"/>
        <v>Verde</v>
      </c>
      <c r="AV60" s="193" t="str">
        <f t="shared" si="12"/>
        <v/>
      </c>
      <c r="AW60" s="193" t="str">
        <f t="shared" si="12"/>
        <v>Verde</v>
      </c>
    </row>
    <row r="61" spans="10:49" ht="34.5" x14ac:dyDescent="0.25">
      <c r="J61" s="214" t="s">
        <v>1131</v>
      </c>
      <c r="K61" s="215" t="s">
        <v>14</v>
      </c>
      <c r="L61" s="215" t="s">
        <v>103</v>
      </c>
      <c r="M61" s="215" t="s">
        <v>152</v>
      </c>
      <c r="N61" s="215" t="s">
        <v>154</v>
      </c>
      <c r="O61" s="215" t="s">
        <v>260</v>
      </c>
      <c r="P61" s="215" t="s">
        <v>260</v>
      </c>
      <c r="Q61" s="215" t="s">
        <v>260</v>
      </c>
      <c r="R61" s="215" t="s">
        <v>260</v>
      </c>
      <c r="S61" s="216">
        <v>1.4999999999999999E-2</v>
      </c>
      <c r="U61" s="193">
        <f t="shared" si="7"/>
        <v>4</v>
      </c>
      <c r="V61" s="140">
        <f>IF(VLOOKUP($N61,'Resumen Items'!$E:$AP,27,0)="",VLOOKUP($N61,'Resumen Items'!$E:$AP,5,0),VLOOKUP($N61,'Resumen Items'!$E:$AP,27,0))</f>
        <v>3</v>
      </c>
      <c r="W61" s="140">
        <f>IF(VLOOKUP($N61,'Resumen Items'!$E:$AP,28,0)="",VLOOKUP($N61,'Resumen Items'!$E:$AP,6,0),VLOOKUP($N61,'Resumen Items'!$E:$AP,28,0))</f>
        <v>3</v>
      </c>
      <c r="X61" s="140" t="str">
        <f>IF(VLOOKUP($N61,'Resumen Items'!$E:$AP,29,0)="",VLOOKUP($N61,'Resumen Items'!$E:$AP,7,0),VLOOKUP($N61,'Resumen Items'!$E:$AP,29,0))</f>
        <v/>
      </c>
      <c r="Y61" s="140" t="str">
        <f>IF(VLOOKUP($N61,'Resumen Items'!$E:$AP,30,0)="",VLOOKUP($N61,'Resumen Items'!$E:$AP,8,0),VLOOKUP($N61,'Resumen Items'!$E:$AP,30,0))</f>
        <v/>
      </c>
      <c r="Z61" s="193">
        <f t="shared" si="13"/>
        <v>1</v>
      </c>
      <c r="AA61" s="193">
        <f t="shared" si="13"/>
        <v>1</v>
      </c>
      <c r="AB61" s="193">
        <f t="shared" si="13"/>
        <v>0</v>
      </c>
      <c r="AC61" s="193">
        <f t="shared" si="13"/>
        <v>0</v>
      </c>
      <c r="AD61" s="193">
        <f t="shared" si="9"/>
        <v>2</v>
      </c>
      <c r="AE61" s="189">
        <f>IF(VLOOKUP($N61,'Resumen Items'!$E:$AP,27,0)="",VLOOKUP($N61,'Resumen Items'!$E:$AP,4,0),VLOOKUP($N61,'Resumen Items'!$E:$AP,25,0))</f>
        <v>1.0499999999999999E-2</v>
      </c>
      <c r="AG61" s="217">
        <v>1</v>
      </c>
      <c r="AH61" s="217">
        <v>1</v>
      </c>
      <c r="AI61" s="217">
        <v>0</v>
      </c>
      <c r="AJ61" s="217">
        <v>0</v>
      </c>
      <c r="AK61" s="217">
        <v>2</v>
      </c>
      <c r="AL61" s="218">
        <v>1.4999999999999999E-2</v>
      </c>
      <c r="AM61" s="189"/>
      <c r="AN61" s="193">
        <f t="shared" si="10"/>
        <v>0</v>
      </c>
      <c r="AO61" s="193">
        <f t="shared" si="10"/>
        <v>0</v>
      </c>
      <c r="AP61" s="193">
        <f t="shared" si="10"/>
        <v>0</v>
      </c>
      <c r="AQ61" s="193">
        <f t="shared" si="10"/>
        <v>0</v>
      </c>
      <c r="AR61" s="193">
        <f t="shared" si="11"/>
        <v>0</v>
      </c>
      <c r="AT61" s="193" t="str">
        <f t="shared" si="12"/>
        <v>Verde</v>
      </c>
      <c r="AU61" s="193" t="str">
        <f t="shared" si="12"/>
        <v>Verde</v>
      </c>
      <c r="AV61" s="193" t="str">
        <f t="shared" si="12"/>
        <v/>
      </c>
      <c r="AW61" s="193" t="str">
        <f t="shared" si="12"/>
        <v/>
      </c>
    </row>
    <row r="62" spans="10:49" ht="51.75" x14ac:dyDescent="0.25">
      <c r="J62" s="221" t="s">
        <v>1131</v>
      </c>
      <c r="K62" s="222" t="s">
        <v>14</v>
      </c>
      <c r="L62" s="222" t="s">
        <v>106</v>
      </c>
      <c r="M62" s="222" t="s">
        <v>152</v>
      </c>
      <c r="N62" s="222" t="s">
        <v>155</v>
      </c>
      <c r="O62" s="223"/>
      <c r="P62" s="223" t="s">
        <v>260</v>
      </c>
      <c r="Q62" s="223" t="s">
        <v>260</v>
      </c>
      <c r="R62" s="223" t="s">
        <v>260</v>
      </c>
      <c r="S62" s="224">
        <v>1.4999999999999999E-2</v>
      </c>
      <c r="U62" s="193">
        <f t="shared" si="7"/>
        <v>3</v>
      </c>
      <c r="V62" s="140">
        <f>IF(VLOOKUP($N62,'Resumen Items'!$E:$AP,27,0)="",VLOOKUP($N62,'Resumen Items'!$E:$AP,5,0),VLOOKUP($N62,'Resumen Items'!$E:$AP,27,0))</f>
        <v>3</v>
      </c>
      <c r="W62" s="140">
        <f>IF(VLOOKUP($N62,'Resumen Items'!$E:$AP,28,0)="",VLOOKUP($N62,'Resumen Items'!$E:$AP,6,0),VLOOKUP($N62,'Resumen Items'!$E:$AP,28,0))</f>
        <v>1</v>
      </c>
      <c r="X62" s="140">
        <f>IF(VLOOKUP($N62,'Resumen Items'!$E:$AP,29,0)="",VLOOKUP($N62,'Resumen Items'!$E:$AP,7,0),VLOOKUP($N62,'Resumen Items'!$E:$AP,29,0))</f>
        <v>3</v>
      </c>
      <c r="Y62" s="140" t="str">
        <f>IF(VLOOKUP($N62,'Resumen Items'!$E:$AP,30,0)="",VLOOKUP($N62,'Resumen Items'!$E:$AP,8,0),VLOOKUP($N62,'Resumen Items'!$E:$AP,30,0))</f>
        <v/>
      </c>
      <c r="Z62" s="193">
        <f t="shared" si="13"/>
        <v>0</v>
      </c>
      <c r="AA62" s="193">
        <f t="shared" si="13"/>
        <v>0</v>
      </c>
      <c r="AB62" s="193">
        <f t="shared" si="13"/>
        <v>1</v>
      </c>
      <c r="AC62" s="193">
        <f t="shared" si="13"/>
        <v>0</v>
      </c>
      <c r="AD62" s="193">
        <f t="shared" si="9"/>
        <v>1</v>
      </c>
      <c r="AE62" s="189">
        <f>IF(VLOOKUP($N62,'Resumen Items'!$E:$AP,27,0)="",VLOOKUP($N62,'Resumen Items'!$E:$AP,4,0),VLOOKUP($N62,'Resumen Items'!$E:$AP,25,0))</f>
        <v>6.0000000000000001E-3</v>
      </c>
      <c r="AG62" s="217">
        <v>0</v>
      </c>
      <c r="AH62" s="217">
        <v>0</v>
      </c>
      <c r="AI62" s="217">
        <v>1</v>
      </c>
      <c r="AJ62" s="217">
        <v>0</v>
      </c>
      <c r="AK62" s="217">
        <v>1</v>
      </c>
      <c r="AL62" s="218">
        <v>1.4999999999999999E-2</v>
      </c>
      <c r="AM62" s="189"/>
      <c r="AN62" s="193">
        <f t="shared" si="10"/>
        <v>0</v>
      </c>
      <c r="AO62" s="193">
        <f t="shared" si="10"/>
        <v>0</v>
      </c>
      <c r="AP62" s="193">
        <f t="shared" si="10"/>
        <v>0</v>
      </c>
      <c r="AQ62" s="193">
        <f t="shared" si="10"/>
        <v>0</v>
      </c>
      <c r="AR62" s="193">
        <f t="shared" si="11"/>
        <v>0</v>
      </c>
      <c r="AT62" s="193" t="str">
        <f t="shared" si="12"/>
        <v>Amarelo</v>
      </c>
      <c r="AU62" s="193" t="str">
        <f t="shared" si="12"/>
        <v/>
      </c>
      <c r="AV62" s="193" t="str">
        <f t="shared" si="12"/>
        <v>Verde</v>
      </c>
      <c r="AW62" s="193" t="str">
        <f t="shared" si="12"/>
        <v/>
      </c>
    </row>
    <row r="63" spans="10:49" ht="34.5" x14ac:dyDescent="0.25">
      <c r="J63" s="214" t="s">
        <v>1131</v>
      </c>
      <c r="K63" s="215" t="s">
        <v>14</v>
      </c>
      <c r="L63" s="215" t="s">
        <v>108</v>
      </c>
      <c r="M63" s="215" t="s">
        <v>152</v>
      </c>
      <c r="N63" s="215" t="s">
        <v>156</v>
      </c>
      <c r="O63" s="215"/>
      <c r="P63" s="215"/>
      <c r="Q63" s="215" t="s">
        <v>260</v>
      </c>
      <c r="R63" s="215" t="s">
        <v>260</v>
      </c>
      <c r="S63" s="216">
        <v>5.0000000000000001E-3</v>
      </c>
      <c r="U63" s="193">
        <f t="shared" si="7"/>
        <v>2</v>
      </c>
      <c r="V63" s="140">
        <f>IF(VLOOKUP($N63,'Resumen Items'!$E:$AP,27,0)="",VLOOKUP($N63,'Resumen Items'!$E:$AP,5,0),VLOOKUP($N63,'Resumen Items'!$E:$AP,27,0))</f>
        <v>3</v>
      </c>
      <c r="W63" s="140">
        <f>IF(VLOOKUP($N63,'Resumen Items'!$E:$AP,28,0)="",VLOOKUP($N63,'Resumen Items'!$E:$AP,6,0),VLOOKUP($N63,'Resumen Items'!$E:$AP,28,0))</f>
        <v>3</v>
      </c>
      <c r="X63" s="140">
        <f>IF(VLOOKUP($N63,'Resumen Items'!$E:$AP,29,0)="",VLOOKUP($N63,'Resumen Items'!$E:$AP,7,0),VLOOKUP($N63,'Resumen Items'!$E:$AP,29,0))</f>
        <v>3</v>
      </c>
      <c r="Y63" s="140" t="str">
        <f>IF(VLOOKUP($N63,'Resumen Items'!$E:$AP,30,0)="",VLOOKUP($N63,'Resumen Items'!$E:$AP,8,0),VLOOKUP($N63,'Resumen Items'!$E:$AP,30,0))</f>
        <v/>
      </c>
      <c r="Z63" s="193">
        <f t="shared" si="13"/>
        <v>0</v>
      </c>
      <c r="AA63" s="193">
        <f t="shared" si="13"/>
        <v>0</v>
      </c>
      <c r="AB63" s="193">
        <f t="shared" si="13"/>
        <v>1</v>
      </c>
      <c r="AC63" s="193">
        <f t="shared" si="13"/>
        <v>0</v>
      </c>
      <c r="AD63" s="193">
        <f t="shared" si="9"/>
        <v>1</v>
      </c>
      <c r="AE63" s="189">
        <f>IF(VLOOKUP($N63,'Resumen Items'!$E:$AP,27,0)="",VLOOKUP($N63,'Resumen Items'!$E:$AP,4,0),VLOOKUP($N63,'Resumen Items'!$E:$AP,25,0))</f>
        <v>4.2500000000000003E-3</v>
      </c>
      <c r="AG63" s="217">
        <v>0</v>
      </c>
      <c r="AH63" s="217">
        <v>0</v>
      </c>
      <c r="AI63" s="217">
        <v>1</v>
      </c>
      <c r="AJ63" s="217">
        <v>0</v>
      </c>
      <c r="AK63" s="217">
        <v>1</v>
      </c>
      <c r="AL63" s="218">
        <v>5.0000000000000001E-3</v>
      </c>
      <c r="AM63" s="189"/>
      <c r="AN63" s="193">
        <f t="shared" si="10"/>
        <v>0</v>
      </c>
      <c r="AO63" s="193">
        <f t="shared" si="10"/>
        <v>0</v>
      </c>
      <c r="AP63" s="193">
        <f t="shared" si="10"/>
        <v>0</v>
      </c>
      <c r="AQ63" s="193">
        <f t="shared" si="10"/>
        <v>0</v>
      </c>
      <c r="AR63" s="193">
        <f t="shared" si="11"/>
        <v>0</v>
      </c>
      <c r="AT63" s="193" t="str">
        <f t="shared" si="12"/>
        <v>Amarelo</v>
      </c>
      <c r="AU63" s="193" t="str">
        <f t="shared" si="12"/>
        <v>Amarelo</v>
      </c>
      <c r="AV63" s="193" t="str">
        <f t="shared" si="12"/>
        <v>Verde</v>
      </c>
      <c r="AW63" s="193" t="str">
        <f t="shared" si="12"/>
        <v/>
      </c>
    </row>
    <row r="64" spans="10:49" ht="34.5" x14ac:dyDescent="0.25">
      <c r="J64" s="221" t="s">
        <v>1131</v>
      </c>
      <c r="K64" s="222" t="s">
        <v>14</v>
      </c>
      <c r="L64" s="222" t="s">
        <v>110</v>
      </c>
      <c r="M64" s="222" t="s">
        <v>102</v>
      </c>
      <c r="N64" s="222" t="s">
        <v>157</v>
      </c>
      <c r="O64" s="223" t="s">
        <v>260</v>
      </c>
      <c r="P64" s="223" t="s">
        <v>260</v>
      </c>
      <c r="Q64" s="223" t="s">
        <v>260</v>
      </c>
      <c r="R64" s="223"/>
      <c r="S64" s="224">
        <v>1.4999999999999999E-2</v>
      </c>
      <c r="U64" s="193">
        <f t="shared" si="7"/>
        <v>3</v>
      </c>
      <c r="V64" s="140">
        <f>IF(VLOOKUP($N64,'Resumen Items'!$E:$AP,27,0)="",VLOOKUP($N64,'Resumen Items'!$E:$AP,5,0),VLOOKUP($N64,'Resumen Items'!$E:$AP,27,0))</f>
        <v>3</v>
      </c>
      <c r="W64" s="140">
        <f>IF(VLOOKUP($N64,'Resumen Items'!$E:$AP,28,0)="",VLOOKUP($N64,'Resumen Items'!$E:$AP,6,0),VLOOKUP($N64,'Resumen Items'!$E:$AP,28,0))</f>
        <v>2</v>
      </c>
      <c r="X64" s="140">
        <f>IF(VLOOKUP($N64,'Resumen Items'!$E:$AP,29,0)="",VLOOKUP($N64,'Resumen Items'!$E:$AP,7,0),VLOOKUP($N64,'Resumen Items'!$E:$AP,29,0))</f>
        <v>2</v>
      </c>
      <c r="Y64" s="140" t="str">
        <f>IF(VLOOKUP($N64,'Resumen Items'!$E:$AP,30,0)="",VLOOKUP($N64,'Resumen Items'!$E:$AP,8,0),VLOOKUP($N64,'Resumen Items'!$E:$AP,30,0))</f>
        <v/>
      </c>
      <c r="Z64" s="193">
        <f t="shared" si="13"/>
        <v>1</v>
      </c>
      <c r="AA64" s="193">
        <f t="shared" si="13"/>
        <v>0</v>
      </c>
      <c r="AB64" s="193">
        <f t="shared" si="13"/>
        <v>0</v>
      </c>
      <c r="AC64" s="193">
        <f t="shared" si="13"/>
        <v>0</v>
      </c>
      <c r="AD64" s="193">
        <f t="shared" si="9"/>
        <v>1</v>
      </c>
      <c r="AE64" s="189">
        <f>IF(VLOOKUP($N64,'Resumen Items'!$E:$AP,27,0)="",VLOOKUP($N64,'Resumen Items'!$E:$AP,4,0),VLOOKUP($N64,'Resumen Items'!$E:$AP,25,0))</f>
        <v>6.0000000000000001E-3</v>
      </c>
      <c r="AG64" s="217">
        <v>1</v>
      </c>
      <c r="AH64" s="217">
        <v>1</v>
      </c>
      <c r="AI64" s="217">
        <v>1</v>
      </c>
      <c r="AJ64" s="217">
        <v>0</v>
      </c>
      <c r="AK64" s="217">
        <v>3</v>
      </c>
      <c r="AL64" s="218">
        <v>1.2749999999999999E-2</v>
      </c>
      <c r="AM64" s="189"/>
      <c r="AN64" s="193">
        <f t="shared" si="10"/>
        <v>0</v>
      </c>
      <c r="AO64" s="193">
        <f t="shared" si="10"/>
        <v>1</v>
      </c>
      <c r="AP64" s="193">
        <f t="shared" si="10"/>
        <v>1</v>
      </c>
      <c r="AQ64" s="193">
        <f t="shared" si="10"/>
        <v>0</v>
      </c>
      <c r="AR64" s="193">
        <f t="shared" si="11"/>
        <v>2</v>
      </c>
      <c r="AT64" s="193" t="str">
        <f t="shared" si="12"/>
        <v>Verde</v>
      </c>
      <c r="AU64" s="193" t="str">
        <f t="shared" si="12"/>
        <v>Laranja</v>
      </c>
      <c r="AV64" s="193" t="str">
        <f t="shared" si="12"/>
        <v>Laranja</v>
      </c>
      <c r="AW64" s="193" t="str">
        <f t="shared" si="12"/>
        <v/>
      </c>
    </row>
    <row r="65" spans="10:49" ht="34.5" x14ac:dyDescent="0.25">
      <c r="J65" s="214" t="s">
        <v>1131</v>
      </c>
      <c r="K65" s="215" t="s">
        <v>14</v>
      </c>
      <c r="L65" s="215" t="s">
        <v>112</v>
      </c>
      <c r="M65" s="215" t="s">
        <v>105</v>
      </c>
      <c r="N65" s="215" t="s">
        <v>158</v>
      </c>
      <c r="O65" s="215"/>
      <c r="P65" s="215" t="s">
        <v>260</v>
      </c>
      <c r="Q65" s="215" t="s">
        <v>260</v>
      </c>
      <c r="R65" s="215"/>
      <c r="S65" s="216">
        <v>0.01</v>
      </c>
      <c r="U65" s="193">
        <f t="shared" si="7"/>
        <v>2</v>
      </c>
      <c r="V65" s="140">
        <f>IF(VLOOKUP($N65,'Resumen Items'!$E:$AP,27,0)="",VLOOKUP($N65,'Resumen Items'!$E:$AP,5,0),VLOOKUP($N65,'Resumen Items'!$E:$AP,27,0))</f>
        <v>3</v>
      </c>
      <c r="W65" s="140" t="str">
        <f>IF(VLOOKUP($N65,'Resumen Items'!$E:$AP,28,0)="",VLOOKUP($N65,'Resumen Items'!$E:$AP,6,0),VLOOKUP($N65,'Resumen Items'!$E:$AP,28,0))</f>
        <v/>
      </c>
      <c r="X65" s="140" t="str">
        <f>IF(VLOOKUP($N65,'Resumen Items'!$E:$AP,29,0)="",VLOOKUP($N65,'Resumen Items'!$E:$AP,7,0),VLOOKUP($N65,'Resumen Items'!$E:$AP,29,0))</f>
        <v/>
      </c>
      <c r="Y65" s="140" t="str">
        <f>IF(VLOOKUP($N65,'Resumen Items'!$E:$AP,30,0)="",VLOOKUP($N65,'Resumen Items'!$E:$AP,8,0),VLOOKUP($N65,'Resumen Items'!$E:$AP,30,0))</f>
        <v/>
      </c>
      <c r="Z65" s="193">
        <f t="shared" si="13"/>
        <v>0</v>
      </c>
      <c r="AA65" s="193">
        <f t="shared" si="13"/>
        <v>0</v>
      </c>
      <c r="AB65" s="193">
        <f t="shared" si="13"/>
        <v>0</v>
      </c>
      <c r="AC65" s="193">
        <f t="shared" si="13"/>
        <v>0</v>
      </c>
      <c r="AD65" s="193">
        <f t="shared" si="9"/>
        <v>0</v>
      </c>
      <c r="AE65" s="189">
        <f>IF(VLOOKUP($N65,'Resumen Items'!$E:$AP,27,0)="",VLOOKUP($N65,'Resumen Items'!$E:$AP,4,0),VLOOKUP($N65,'Resumen Items'!$E:$AP,25,0))</f>
        <v>4.0000000000000001E-3</v>
      </c>
      <c r="AG65" s="217">
        <v>0</v>
      </c>
      <c r="AH65" s="217">
        <v>0</v>
      </c>
      <c r="AI65" s="217">
        <v>0</v>
      </c>
      <c r="AJ65" s="217">
        <v>0</v>
      </c>
      <c r="AK65" s="217">
        <v>0</v>
      </c>
      <c r="AL65" s="218">
        <v>8.5000000000000006E-3</v>
      </c>
      <c r="AM65" s="189"/>
      <c r="AN65" s="193">
        <f t="shared" si="10"/>
        <v>0</v>
      </c>
      <c r="AO65" s="193">
        <f t="shared" si="10"/>
        <v>0</v>
      </c>
      <c r="AP65" s="193">
        <f t="shared" si="10"/>
        <v>0</v>
      </c>
      <c r="AQ65" s="193">
        <f t="shared" si="10"/>
        <v>0</v>
      </c>
      <c r="AR65" s="193">
        <f t="shared" si="11"/>
        <v>0</v>
      </c>
      <c r="AT65" s="193" t="str">
        <f t="shared" si="12"/>
        <v>Amarelo</v>
      </c>
      <c r="AU65" s="193" t="str">
        <f t="shared" si="12"/>
        <v/>
      </c>
      <c r="AV65" s="193" t="str">
        <f t="shared" si="12"/>
        <v/>
      </c>
      <c r="AW65" s="193" t="str">
        <f t="shared" si="12"/>
        <v/>
      </c>
    </row>
    <row r="66" spans="10:49" ht="51.75" x14ac:dyDescent="0.25">
      <c r="J66" s="221" t="s">
        <v>1131</v>
      </c>
      <c r="K66" s="222" t="s">
        <v>159</v>
      </c>
      <c r="L66" s="222" t="s">
        <v>79</v>
      </c>
      <c r="M66" s="222" t="s">
        <v>124</v>
      </c>
      <c r="N66" s="222" t="s">
        <v>160</v>
      </c>
      <c r="O66" s="223"/>
      <c r="P66" s="223"/>
      <c r="Q66" s="223"/>
      <c r="R66" s="223"/>
      <c r="S66" s="224">
        <v>0.02</v>
      </c>
      <c r="U66" s="193">
        <f t="shared" si="7"/>
        <v>0</v>
      </c>
      <c r="V66" s="140">
        <f>IF(VLOOKUP($N66,'Resumen Items'!$E:$AP,27,0)="",VLOOKUP($N66,'Resumen Items'!$E:$AP,5,0),VLOOKUP($N66,'Resumen Items'!$E:$AP,27,0))</f>
        <v>3</v>
      </c>
      <c r="W66" s="140">
        <f>IF(VLOOKUP($N66,'Resumen Items'!$E:$AP,28,0)="",VLOOKUP($N66,'Resumen Items'!$E:$AP,6,0),VLOOKUP($N66,'Resumen Items'!$E:$AP,28,0))</f>
        <v>3</v>
      </c>
      <c r="X66" s="140">
        <f>IF(VLOOKUP($N66,'Resumen Items'!$E:$AP,29,0)="",VLOOKUP($N66,'Resumen Items'!$E:$AP,7,0),VLOOKUP($N66,'Resumen Items'!$E:$AP,29,0))</f>
        <v>3</v>
      </c>
      <c r="Y66" s="140" t="str">
        <f>IF(VLOOKUP($N66,'Resumen Items'!$E:$AP,30,0)="",VLOOKUP($N66,'Resumen Items'!$E:$AP,8,0),VLOOKUP($N66,'Resumen Items'!$E:$AP,30,0))</f>
        <v/>
      </c>
      <c r="Z66" s="193">
        <f t="shared" si="13"/>
        <v>0</v>
      </c>
      <c r="AA66" s="193">
        <f t="shared" si="13"/>
        <v>0</v>
      </c>
      <c r="AB66" s="193">
        <f t="shared" si="13"/>
        <v>0</v>
      </c>
      <c r="AC66" s="193">
        <f t="shared" si="13"/>
        <v>0</v>
      </c>
      <c r="AD66" s="193">
        <f t="shared" si="9"/>
        <v>0</v>
      </c>
      <c r="AE66" s="189">
        <f>IF(VLOOKUP($N66,'Resumen Items'!$E:$AP,27,0)="",VLOOKUP($N66,'Resumen Items'!$E:$AP,4,0),VLOOKUP($N66,'Resumen Items'!$E:$AP,25,0))</f>
        <v>1.7000000000000001E-2</v>
      </c>
      <c r="AG66" s="217">
        <v>0</v>
      </c>
      <c r="AH66" s="217">
        <v>0</v>
      </c>
      <c r="AI66" s="217">
        <v>0</v>
      </c>
      <c r="AJ66" s="217">
        <v>0</v>
      </c>
      <c r="AK66" s="217">
        <v>0</v>
      </c>
      <c r="AL66" s="218">
        <v>1.7000000000000001E-2</v>
      </c>
      <c r="AM66" s="189"/>
      <c r="AN66" s="193">
        <f t="shared" si="10"/>
        <v>0</v>
      </c>
      <c r="AO66" s="193">
        <f t="shared" si="10"/>
        <v>0</v>
      </c>
      <c r="AP66" s="193">
        <f t="shared" si="10"/>
        <v>0</v>
      </c>
      <c r="AQ66" s="193">
        <f t="shared" si="10"/>
        <v>0</v>
      </c>
      <c r="AR66" s="193">
        <f t="shared" si="11"/>
        <v>0</v>
      </c>
      <c r="AT66" s="193" t="str">
        <f t="shared" si="12"/>
        <v>Amarelo</v>
      </c>
      <c r="AU66" s="193" t="str">
        <f t="shared" si="12"/>
        <v>Amarelo</v>
      </c>
      <c r="AV66" s="193" t="str">
        <f t="shared" si="12"/>
        <v>Amarelo</v>
      </c>
      <c r="AW66" s="193" t="str">
        <f t="shared" si="12"/>
        <v/>
      </c>
    </row>
    <row r="67" spans="10:49" ht="34.5" x14ac:dyDescent="0.25">
      <c r="J67" s="214" t="s">
        <v>1131</v>
      </c>
      <c r="K67" s="215" t="s">
        <v>159</v>
      </c>
      <c r="L67" s="215" t="s">
        <v>81</v>
      </c>
      <c r="M67" s="215" t="s">
        <v>124</v>
      </c>
      <c r="N67" s="215" t="s">
        <v>161</v>
      </c>
      <c r="O67" s="215"/>
      <c r="P67" s="215" t="s">
        <v>260</v>
      </c>
      <c r="Q67" s="215" t="s">
        <v>260</v>
      </c>
      <c r="R67" s="215" t="s">
        <v>260</v>
      </c>
      <c r="S67" s="216">
        <v>2.5000000000000001E-2</v>
      </c>
      <c r="U67" s="193">
        <f t="shared" si="7"/>
        <v>3</v>
      </c>
      <c r="V67" s="140">
        <f>IF(VLOOKUP($N67,'Resumen Items'!$E:$AP,27,0)="",VLOOKUP($N67,'Resumen Items'!$E:$AP,5,0),VLOOKUP($N67,'Resumen Items'!$E:$AP,27,0))</f>
        <v>1</v>
      </c>
      <c r="W67" s="140">
        <f>IF(VLOOKUP($N67,'Resumen Items'!$E:$AP,28,0)="",VLOOKUP($N67,'Resumen Items'!$E:$AP,6,0),VLOOKUP($N67,'Resumen Items'!$E:$AP,28,0))</f>
        <v>1</v>
      </c>
      <c r="X67" s="140" t="str">
        <f>IF(VLOOKUP($N67,'Resumen Items'!$E:$AP,29,0)="",VLOOKUP($N67,'Resumen Items'!$E:$AP,7,0),VLOOKUP($N67,'Resumen Items'!$E:$AP,29,0))</f>
        <v/>
      </c>
      <c r="Y67" s="140" t="str">
        <f>IF(VLOOKUP($N67,'Resumen Items'!$E:$AP,30,0)="",VLOOKUP($N67,'Resumen Items'!$E:$AP,8,0),VLOOKUP($N67,'Resumen Items'!$E:$AP,30,0))</f>
        <v/>
      </c>
      <c r="Z67" s="193">
        <f t="shared" si="13"/>
        <v>0</v>
      </c>
      <c r="AA67" s="193">
        <f t="shared" si="13"/>
        <v>0</v>
      </c>
      <c r="AB67" s="193">
        <f t="shared" si="13"/>
        <v>0</v>
      </c>
      <c r="AC67" s="193">
        <f t="shared" si="13"/>
        <v>0</v>
      </c>
      <c r="AD67" s="193">
        <f t="shared" si="9"/>
        <v>0</v>
      </c>
      <c r="AE67" s="189">
        <f>IF(VLOOKUP($N67,'Resumen Items'!$E:$AP,27,0)="",VLOOKUP($N67,'Resumen Items'!$E:$AP,4,0),VLOOKUP($N67,'Resumen Items'!$E:$AP,25,0))</f>
        <v>0</v>
      </c>
      <c r="AG67" s="217">
        <v>0</v>
      </c>
      <c r="AH67" s="217">
        <v>0</v>
      </c>
      <c r="AI67" s="217">
        <v>0</v>
      </c>
      <c r="AJ67" s="217">
        <v>0</v>
      </c>
      <c r="AK67" s="217">
        <v>0</v>
      </c>
      <c r="AL67" s="218">
        <v>2.5000000000000001E-2</v>
      </c>
      <c r="AM67" s="189"/>
      <c r="AN67" s="193">
        <f t="shared" si="10"/>
        <v>0</v>
      </c>
      <c r="AO67" s="193">
        <f t="shared" si="10"/>
        <v>0</v>
      </c>
      <c r="AP67" s="193">
        <f t="shared" si="10"/>
        <v>0</v>
      </c>
      <c r="AQ67" s="193">
        <f t="shared" si="10"/>
        <v>0</v>
      </c>
      <c r="AR67" s="193">
        <f t="shared" si="11"/>
        <v>0</v>
      </c>
      <c r="AT67" s="193" t="str">
        <f t="shared" si="12"/>
        <v/>
      </c>
      <c r="AU67" s="193" t="str">
        <f t="shared" si="12"/>
        <v/>
      </c>
      <c r="AV67" s="193" t="str">
        <f t="shared" si="12"/>
        <v/>
      </c>
      <c r="AW67" s="193" t="str">
        <f t="shared" si="12"/>
        <v/>
      </c>
    </row>
    <row r="68" spans="10:49" ht="34.5" x14ac:dyDescent="0.25">
      <c r="J68" s="221" t="s">
        <v>1131</v>
      </c>
      <c r="K68" s="222" t="s">
        <v>159</v>
      </c>
      <c r="L68" s="222" t="s">
        <v>83</v>
      </c>
      <c r="M68" s="222" t="s">
        <v>124</v>
      </c>
      <c r="N68" s="222" t="s">
        <v>162</v>
      </c>
      <c r="O68" s="223"/>
      <c r="P68" s="223"/>
      <c r="Q68" s="223"/>
      <c r="R68" s="223"/>
      <c r="S68" s="224">
        <v>0.02</v>
      </c>
      <c r="U68" s="193">
        <f t="shared" si="7"/>
        <v>0</v>
      </c>
      <c r="V68" s="140">
        <f>IF(VLOOKUP($N68,'Resumen Items'!$E:$AP,27,0)="",VLOOKUP($N68,'Resumen Items'!$E:$AP,5,0),VLOOKUP($N68,'Resumen Items'!$E:$AP,27,0))</f>
        <v>3</v>
      </c>
      <c r="W68" s="140">
        <f>IF(VLOOKUP($N68,'Resumen Items'!$E:$AP,28,0)="",VLOOKUP($N68,'Resumen Items'!$E:$AP,6,0),VLOOKUP($N68,'Resumen Items'!$E:$AP,28,0))</f>
        <v>3</v>
      </c>
      <c r="X68" s="140">
        <f>IF(VLOOKUP($N68,'Resumen Items'!$E:$AP,29,0)="",VLOOKUP($N68,'Resumen Items'!$E:$AP,7,0),VLOOKUP($N68,'Resumen Items'!$E:$AP,29,0))</f>
        <v>3</v>
      </c>
      <c r="Y68" s="140">
        <f>IF(VLOOKUP($N68,'Resumen Items'!$E:$AP,30,0)="",VLOOKUP($N68,'Resumen Items'!$E:$AP,8,0),VLOOKUP($N68,'Resumen Items'!$E:$AP,30,0))</f>
        <v>1</v>
      </c>
      <c r="Z68" s="193">
        <f t="shared" si="13"/>
        <v>0</v>
      </c>
      <c r="AA68" s="193">
        <f t="shared" si="13"/>
        <v>0</v>
      </c>
      <c r="AB68" s="193">
        <f t="shared" si="13"/>
        <v>0</v>
      </c>
      <c r="AC68" s="193">
        <f t="shared" si="13"/>
        <v>0</v>
      </c>
      <c r="AD68" s="193">
        <f t="shared" si="9"/>
        <v>0</v>
      </c>
      <c r="AE68" s="189">
        <f>IF(VLOOKUP($N68,'Resumen Items'!$E:$AP,27,0)="",VLOOKUP($N68,'Resumen Items'!$E:$AP,4,0),VLOOKUP($N68,'Resumen Items'!$E:$AP,25,0))</f>
        <v>1.7000000000000001E-2</v>
      </c>
      <c r="AG68" s="217">
        <v>0</v>
      </c>
      <c r="AH68" s="217">
        <v>0</v>
      </c>
      <c r="AI68" s="217">
        <v>0</v>
      </c>
      <c r="AJ68" s="217">
        <v>0</v>
      </c>
      <c r="AK68" s="217">
        <v>0</v>
      </c>
      <c r="AL68" s="218">
        <v>0.02</v>
      </c>
      <c r="AM68" s="189"/>
      <c r="AN68" s="193">
        <f t="shared" si="10"/>
        <v>0</v>
      </c>
      <c r="AO68" s="193">
        <f t="shared" si="10"/>
        <v>0</v>
      </c>
      <c r="AP68" s="193">
        <f t="shared" si="10"/>
        <v>0</v>
      </c>
      <c r="AQ68" s="193">
        <f t="shared" si="10"/>
        <v>0</v>
      </c>
      <c r="AR68" s="193">
        <f t="shared" si="11"/>
        <v>0</v>
      </c>
      <c r="AT68" s="193" t="str">
        <f t="shared" si="12"/>
        <v>Amarelo</v>
      </c>
      <c r="AU68" s="193" t="str">
        <f t="shared" si="12"/>
        <v>Amarelo</v>
      </c>
      <c r="AV68" s="193" t="str">
        <f t="shared" si="12"/>
        <v>Amarelo</v>
      </c>
      <c r="AW68" s="193" t="str">
        <f t="shared" si="12"/>
        <v/>
      </c>
    </row>
    <row r="69" spans="10:49" ht="34.5" x14ac:dyDescent="0.25">
      <c r="J69" s="214" t="s">
        <v>1131</v>
      </c>
      <c r="K69" s="215" t="s">
        <v>159</v>
      </c>
      <c r="L69" s="215" t="s">
        <v>85</v>
      </c>
      <c r="M69" s="215" t="s">
        <v>124</v>
      </c>
      <c r="N69" s="215" t="s">
        <v>163</v>
      </c>
      <c r="O69" s="215"/>
      <c r="P69" s="215"/>
      <c r="Q69" s="215"/>
      <c r="R69" s="215"/>
      <c r="S69" s="216">
        <v>0.02</v>
      </c>
      <c r="U69" s="193">
        <f t="shared" si="7"/>
        <v>0</v>
      </c>
      <c r="V69" s="140">
        <f>IF(VLOOKUP($N69,'Resumen Items'!$E:$AP,27,0)="",VLOOKUP($N69,'Resumen Items'!$E:$AP,5,0),VLOOKUP($N69,'Resumen Items'!$E:$AP,27,0))</f>
        <v>3</v>
      </c>
      <c r="W69" s="140">
        <f>IF(VLOOKUP($N69,'Resumen Items'!$E:$AP,28,0)="",VLOOKUP($N69,'Resumen Items'!$E:$AP,6,0),VLOOKUP($N69,'Resumen Items'!$E:$AP,28,0))</f>
        <v>3</v>
      </c>
      <c r="X69" s="140">
        <f>IF(VLOOKUP($N69,'Resumen Items'!$E:$AP,29,0)="",VLOOKUP($N69,'Resumen Items'!$E:$AP,7,0),VLOOKUP($N69,'Resumen Items'!$E:$AP,29,0))</f>
        <v>3</v>
      </c>
      <c r="Y69" s="140" t="str">
        <f>IF(VLOOKUP($N69,'Resumen Items'!$E:$AP,30,0)="",VLOOKUP($N69,'Resumen Items'!$E:$AP,8,0),VLOOKUP($N69,'Resumen Items'!$E:$AP,30,0))</f>
        <v/>
      </c>
      <c r="Z69" s="193">
        <f t="shared" si="13"/>
        <v>0</v>
      </c>
      <c r="AA69" s="193">
        <f t="shared" si="13"/>
        <v>0</v>
      </c>
      <c r="AB69" s="193">
        <f t="shared" si="13"/>
        <v>0</v>
      </c>
      <c r="AC69" s="193">
        <f t="shared" si="13"/>
        <v>0</v>
      </c>
      <c r="AD69" s="193">
        <f t="shared" si="9"/>
        <v>0</v>
      </c>
      <c r="AE69" s="189">
        <f>IF(VLOOKUP($N69,'Resumen Items'!$E:$AP,27,0)="",VLOOKUP($N69,'Resumen Items'!$E:$AP,4,0),VLOOKUP($N69,'Resumen Items'!$E:$AP,25,0))</f>
        <v>1.7000000000000001E-2</v>
      </c>
      <c r="AG69" s="217">
        <v>0</v>
      </c>
      <c r="AH69" s="217">
        <v>0</v>
      </c>
      <c r="AI69" s="217">
        <v>0</v>
      </c>
      <c r="AJ69" s="217">
        <v>0</v>
      </c>
      <c r="AK69" s="217">
        <v>0</v>
      </c>
      <c r="AL69" s="218">
        <v>1.7000000000000001E-2</v>
      </c>
      <c r="AM69" s="189"/>
      <c r="AN69" s="193">
        <f t="shared" si="10"/>
        <v>0</v>
      </c>
      <c r="AO69" s="193">
        <f t="shared" si="10"/>
        <v>0</v>
      </c>
      <c r="AP69" s="193">
        <f t="shared" si="10"/>
        <v>0</v>
      </c>
      <c r="AQ69" s="193">
        <f t="shared" si="10"/>
        <v>0</v>
      </c>
      <c r="AR69" s="193">
        <f t="shared" si="11"/>
        <v>0</v>
      </c>
      <c r="AT69" s="193" t="str">
        <f t="shared" si="12"/>
        <v>Amarelo</v>
      </c>
      <c r="AU69" s="193" t="str">
        <f t="shared" si="12"/>
        <v>Amarelo</v>
      </c>
      <c r="AV69" s="193" t="str">
        <f t="shared" si="12"/>
        <v>Amarelo</v>
      </c>
      <c r="AW69" s="193" t="str">
        <f t="shared" si="12"/>
        <v/>
      </c>
    </row>
    <row r="70" spans="10:49" ht="34.5" x14ac:dyDescent="0.25">
      <c r="J70" s="221" t="s">
        <v>1131</v>
      </c>
      <c r="K70" s="222" t="s">
        <v>159</v>
      </c>
      <c r="L70" s="222" t="s">
        <v>88</v>
      </c>
      <c r="M70" s="222" t="s">
        <v>164</v>
      </c>
      <c r="N70" s="222" t="s">
        <v>165</v>
      </c>
      <c r="O70" s="223"/>
      <c r="P70" s="223" t="s">
        <v>260</v>
      </c>
      <c r="Q70" s="223" t="s">
        <v>260</v>
      </c>
      <c r="R70" s="223"/>
      <c r="S70" s="224">
        <v>0.02</v>
      </c>
      <c r="U70" s="193">
        <f t="shared" si="7"/>
        <v>2</v>
      </c>
      <c r="V70" s="140">
        <f>IF(VLOOKUP($N70,'Resumen Items'!$E:$AP,27,0)="",VLOOKUP($N70,'Resumen Items'!$E:$AP,5,0),VLOOKUP($N70,'Resumen Items'!$E:$AP,27,0))</f>
        <v>3</v>
      </c>
      <c r="W70" s="140" t="str">
        <f>IF(VLOOKUP($N70,'Resumen Items'!$E:$AP,28,0)="",VLOOKUP($N70,'Resumen Items'!$E:$AP,6,0),VLOOKUP($N70,'Resumen Items'!$E:$AP,28,0))</f>
        <v/>
      </c>
      <c r="X70" s="140" t="str">
        <f>IF(VLOOKUP($N70,'Resumen Items'!$E:$AP,29,0)="",VLOOKUP($N70,'Resumen Items'!$E:$AP,7,0),VLOOKUP($N70,'Resumen Items'!$E:$AP,29,0))</f>
        <v/>
      </c>
      <c r="Y70" s="140" t="str">
        <f>IF(VLOOKUP($N70,'Resumen Items'!$E:$AP,30,0)="",VLOOKUP($N70,'Resumen Items'!$E:$AP,8,0),VLOOKUP($N70,'Resumen Items'!$E:$AP,30,0))</f>
        <v/>
      </c>
      <c r="Z70" s="193">
        <f t="shared" si="13"/>
        <v>0</v>
      </c>
      <c r="AA70" s="193">
        <f t="shared" si="13"/>
        <v>0</v>
      </c>
      <c r="AB70" s="193">
        <f t="shared" si="13"/>
        <v>0</v>
      </c>
      <c r="AC70" s="193">
        <f t="shared" si="13"/>
        <v>0</v>
      </c>
      <c r="AD70" s="193">
        <f t="shared" si="9"/>
        <v>0</v>
      </c>
      <c r="AE70" s="189">
        <f>IF(VLOOKUP($N70,'Resumen Items'!$E:$AP,27,0)="",VLOOKUP($N70,'Resumen Items'!$E:$AP,4,0),VLOOKUP($N70,'Resumen Items'!$E:$AP,25,0))</f>
        <v>8.0000000000000002E-3</v>
      </c>
      <c r="AG70" s="217">
        <v>0</v>
      </c>
      <c r="AH70" s="217">
        <v>0</v>
      </c>
      <c r="AI70" s="217">
        <v>0</v>
      </c>
      <c r="AJ70" s="217">
        <v>0</v>
      </c>
      <c r="AK70" s="217">
        <v>0</v>
      </c>
      <c r="AL70" s="218">
        <v>0.02</v>
      </c>
      <c r="AM70" s="189"/>
      <c r="AN70" s="193">
        <f t="shared" si="10"/>
        <v>0</v>
      </c>
      <c r="AO70" s="193">
        <f t="shared" si="10"/>
        <v>0</v>
      </c>
      <c r="AP70" s="193">
        <f t="shared" si="10"/>
        <v>0</v>
      </c>
      <c r="AQ70" s="193">
        <f t="shared" si="10"/>
        <v>0</v>
      </c>
      <c r="AR70" s="193">
        <f t="shared" si="11"/>
        <v>0</v>
      </c>
      <c r="AT70" s="193" t="str">
        <f t="shared" si="12"/>
        <v>Amarelo</v>
      </c>
      <c r="AU70" s="193" t="str">
        <f t="shared" si="12"/>
        <v/>
      </c>
      <c r="AV70" s="193" t="str">
        <f t="shared" si="12"/>
        <v/>
      </c>
      <c r="AW70" s="193" t="str">
        <f t="shared" si="12"/>
        <v/>
      </c>
    </row>
    <row r="71" spans="10:49" ht="34.5" x14ac:dyDescent="0.25">
      <c r="J71" s="214" t="s">
        <v>1131</v>
      </c>
      <c r="K71" s="215" t="s">
        <v>159</v>
      </c>
      <c r="L71" s="215" t="s">
        <v>90</v>
      </c>
      <c r="M71" s="215" t="s">
        <v>164</v>
      </c>
      <c r="N71" s="215" t="s">
        <v>166</v>
      </c>
      <c r="O71" s="215"/>
      <c r="P71" s="215" t="s">
        <v>260</v>
      </c>
      <c r="Q71" s="215" t="s">
        <v>260</v>
      </c>
      <c r="R71" s="215" t="s">
        <v>260</v>
      </c>
      <c r="S71" s="216">
        <v>0.02</v>
      </c>
      <c r="U71" s="193">
        <f t="shared" si="7"/>
        <v>3</v>
      </c>
      <c r="V71" s="140">
        <f>IF(VLOOKUP($N71,'Resumen Items'!$E:$AP,27,0)="",VLOOKUP($N71,'Resumen Items'!$E:$AP,5,0),VLOOKUP($N71,'Resumen Items'!$E:$AP,27,0))</f>
        <v>3</v>
      </c>
      <c r="W71" s="140">
        <f>IF(VLOOKUP($N71,'Resumen Items'!$E:$AP,28,0)="",VLOOKUP($N71,'Resumen Items'!$E:$AP,6,0),VLOOKUP($N71,'Resumen Items'!$E:$AP,28,0))</f>
        <v>3</v>
      </c>
      <c r="X71" s="140">
        <f>IF(VLOOKUP($N71,'Resumen Items'!$E:$AP,29,0)="",VLOOKUP($N71,'Resumen Items'!$E:$AP,7,0),VLOOKUP($N71,'Resumen Items'!$E:$AP,29,0))</f>
        <v>3</v>
      </c>
      <c r="Y71" s="140">
        <f>IF(VLOOKUP($N71,'Resumen Items'!$E:$AP,30,0)="",VLOOKUP($N71,'Resumen Items'!$E:$AP,8,0),VLOOKUP($N71,'Resumen Items'!$E:$AP,30,0))</f>
        <v>3</v>
      </c>
      <c r="Z71" s="193">
        <f t="shared" si="13"/>
        <v>0</v>
      </c>
      <c r="AA71" s="193">
        <f t="shared" si="13"/>
        <v>1</v>
      </c>
      <c r="AB71" s="193">
        <f t="shared" si="13"/>
        <v>1</v>
      </c>
      <c r="AC71" s="193">
        <f t="shared" si="13"/>
        <v>1</v>
      </c>
      <c r="AD71" s="193">
        <f t="shared" si="9"/>
        <v>3</v>
      </c>
      <c r="AE71" s="189">
        <f>IF(VLOOKUP($N71,'Resumen Items'!$E:$AP,27,0)="",VLOOKUP($N71,'Resumen Items'!$E:$AP,4,0),VLOOKUP($N71,'Resumen Items'!$E:$AP,25,0))</f>
        <v>0.02</v>
      </c>
      <c r="AG71" s="217">
        <v>0</v>
      </c>
      <c r="AH71" s="217">
        <v>1</v>
      </c>
      <c r="AI71" s="217">
        <v>1</v>
      </c>
      <c r="AJ71" s="217">
        <v>1</v>
      </c>
      <c r="AK71" s="217">
        <v>3</v>
      </c>
      <c r="AL71" s="218">
        <v>0.02</v>
      </c>
      <c r="AM71" s="189"/>
      <c r="AN71" s="193">
        <f t="shared" si="10"/>
        <v>0</v>
      </c>
      <c r="AO71" s="193">
        <f t="shared" si="10"/>
        <v>0</v>
      </c>
      <c r="AP71" s="193">
        <f t="shared" si="10"/>
        <v>0</v>
      </c>
      <c r="AQ71" s="193">
        <f t="shared" si="10"/>
        <v>0</v>
      </c>
      <c r="AR71" s="193">
        <f t="shared" si="11"/>
        <v>0</v>
      </c>
      <c r="AT71" s="193" t="str">
        <f t="shared" si="12"/>
        <v>Amarelo</v>
      </c>
      <c r="AU71" s="193" t="str">
        <f t="shared" si="12"/>
        <v>Verde</v>
      </c>
      <c r="AV71" s="193" t="str">
        <f t="shared" si="12"/>
        <v>Verde</v>
      </c>
      <c r="AW71" s="193" t="str">
        <f t="shared" si="12"/>
        <v>Verde</v>
      </c>
    </row>
    <row r="72" spans="10:49" ht="51.75" x14ac:dyDescent="0.25">
      <c r="J72" s="221" t="s">
        <v>1131</v>
      </c>
      <c r="K72" s="222" t="s">
        <v>159</v>
      </c>
      <c r="L72" s="222" t="s">
        <v>93</v>
      </c>
      <c r="M72" s="222" t="s">
        <v>167</v>
      </c>
      <c r="N72" s="222" t="s">
        <v>168</v>
      </c>
      <c r="O72" s="223" t="s">
        <v>260</v>
      </c>
      <c r="P72" s="223" t="s">
        <v>260</v>
      </c>
      <c r="Q72" s="223" t="s">
        <v>260</v>
      </c>
      <c r="R72" s="223" t="s">
        <v>260</v>
      </c>
      <c r="S72" s="224">
        <v>2.5000000000000001E-2</v>
      </c>
      <c r="U72" s="193">
        <f t="shared" si="7"/>
        <v>4</v>
      </c>
      <c r="V72" s="140">
        <f>IF(VLOOKUP($N72,'Resumen Items'!$E:$AP,27,0)="",VLOOKUP($N72,'Resumen Items'!$E:$AP,5,0),VLOOKUP($N72,'Resumen Items'!$E:$AP,27,0))</f>
        <v>3</v>
      </c>
      <c r="W72" s="140">
        <f>IF(VLOOKUP($N72,'Resumen Items'!$E:$AP,28,0)="",VLOOKUP($N72,'Resumen Items'!$E:$AP,6,0),VLOOKUP($N72,'Resumen Items'!$E:$AP,28,0))</f>
        <v>3</v>
      </c>
      <c r="X72" s="140">
        <f>IF(VLOOKUP($N72,'Resumen Items'!$E:$AP,29,0)="",VLOOKUP($N72,'Resumen Items'!$E:$AP,7,0),VLOOKUP($N72,'Resumen Items'!$E:$AP,29,0))</f>
        <v>3</v>
      </c>
      <c r="Y72" s="140" t="str">
        <f>IF(VLOOKUP($N72,'Resumen Items'!$E:$AP,30,0)="",VLOOKUP($N72,'Resumen Items'!$E:$AP,8,0),VLOOKUP($N72,'Resumen Items'!$E:$AP,30,0))</f>
        <v/>
      </c>
      <c r="Z72" s="193">
        <f t="shared" si="13"/>
        <v>1</v>
      </c>
      <c r="AA72" s="193">
        <f t="shared" si="13"/>
        <v>1</v>
      </c>
      <c r="AB72" s="193">
        <f t="shared" si="13"/>
        <v>1</v>
      </c>
      <c r="AC72" s="193">
        <f t="shared" si="13"/>
        <v>0</v>
      </c>
      <c r="AD72" s="193">
        <f t="shared" si="9"/>
        <v>3</v>
      </c>
      <c r="AE72" s="189">
        <f>IF(VLOOKUP($N72,'Resumen Items'!$E:$AP,27,0)="",VLOOKUP($N72,'Resumen Items'!$E:$AP,4,0),VLOOKUP($N72,'Resumen Items'!$E:$AP,25,0))</f>
        <v>2.1250000000000002E-2</v>
      </c>
      <c r="AG72" s="217">
        <v>1</v>
      </c>
      <c r="AH72" s="217">
        <v>1</v>
      </c>
      <c r="AI72" s="217">
        <v>0</v>
      </c>
      <c r="AJ72" s="217">
        <v>0</v>
      </c>
      <c r="AK72" s="217">
        <v>2</v>
      </c>
      <c r="AL72" s="218">
        <v>2.5000000000000001E-2</v>
      </c>
      <c r="AM72" s="189"/>
      <c r="AN72" s="193">
        <f t="shared" si="10"/>
        <v>0</v>
      </c>
      <c r="AO72" s="193">
        <f t="shared" si="10"/>
        <v>0</v>
      </c>
      <c r="AP72" s="193">
        <f t="shared" si="10"/>
        <v>0</v>
      </c>
      <c r="AQ72" s="193">
        <f t="shared" si="10"/>
        <v>0</v>
      </c>
      <c r="AR72" s="193">
        <f t="shared" si="11"/>
        <v>0</v>
      </c>
      <c r="AT72" s="193" t="str">
        <f t="shared" si="12"/>
        <v>Verde</v>
      </c>
      <c r="AU72" s="193" t="str">
        <f t="shared" si="12"/>
        <v>Verde</v>
      </c>
      <c r="AV72" s="193" t="str">
        <f t="shared" si="12"/>
        <v>Verde</v>
      </c>
      <c r="AW72" s="193" t="str">
        <f t="shared" si="12"/>
        <v/>
      </c>
    </row>
    <row r="73" spans="10:49" ht="34.5" x14ac:dyDescent="0.25">
      <c r="J73" s="214" t="s">
        <v>1131</v>
      </c>
      <c r="K73" s="215" t="s">
        <v>159</v>
      </c>
      <c r="L73" s="215" t="s">
        <v>95</v>
      </c>
      <c r="M73" s="215" t="s">
        <v>169</v>
      </c>
      <c r="N73" s="215" t="s">
        <v>170</v>
      </c>
      <c r="O73" s="215"/>
      <c r="P73" s="215" t="s">
        <v>260</v>
      </c>
      <c r="Q73" s="215" t="s">
        <v>260</v>
      </c>
      <c r="R73" s="215"/>
      <c r="S73" s="216">
        <v>0.02</v>
      </c>
      <c r="U73" s="193">
        <f t="shared" si="7"/>
        <v>2</v>
      </c>
      <c r="V73" s="140">
        <f>IF(VLOOKUP($N73,'Resumen Items'!$E:$AP,27,0)="",VLOOKUP($N73,'Resumen Items'!$E:$AP,5,0),VLOOKUP($N73,'Resumen Items'!$E:$AP,27,0))</f>
        <v>3</v>
      </c>
      <c r="W73" s="140">
        <f>IF(VLOOKUP($N73,'Resumen Items'!$E:$AP,28,0)="",VLOOKUP($N73,'Resumen Items'!$E:$AP,6,0),VLOOKUP($N73,'Resumen Items'!$E:$AP,28,0))</f>
        <v>3</v>
      </c>
      <c r="X73" s="140">
        <f>IF(VLOOKUP($N73,'Resumen Items'!$E:$AP,29,0)="",VLOOKUP($N73,'Resumen Items'!$E:$AP,7,0),VLOOKUP($N73,'Resumen Items'!$E:$AP,29,0))</f>
        <v>3</v>
      </c>
      <c r="Y73" s="140">
        <f>IF(VLOOKUP($N73,'Resumen Items'!$E:$AP,30,0)="",VLOOKUP($N73,'Resumen Items'!$E:$AP,8,0),VLOOKUP($N73,'Resumen Items'!$E:$AP,30,0))</f>
        <v>1</v>
      </c>
      <c r="Z73" s="193">
        <f t="shared" si="13"/>
        <v>0</v>
      </c>
      <c r="AA73" s="193">
        <f t="shared" si="13"/>
        <v>1</v>
      </c>
      <c r="AB73" s="193">
        <f t="shared" si="13"/>
        <v>1</v>
      </c>
      <c r="AC73" s="193">
        <f t="shared" si="13"/>
        <v>0</v>
      </c>
      <c r="AD73" s="193">
        <f t="shared" si="9"/>
        <v>2</v>
      </c>
      <c r="AE73" s="189">
        <f>IF(VLOOKUP($N73,'Resumen Items'!$E:$AP,27,0)="",VLOOKUP($N73,'Resumen Items'!$E:$AP,4,0),VLOOKUP($N73,'Resumen Items'!$E:$AP,25,0))</f>
        <v>1.7000000000000001E-2</v>
      </c>
      <c r="AG73" s="217">
        <v>0</v>
      </c>
      <c r="AH73" s="217">
        <v>1</v>
      </c>
      <c r="AI73" s="217">
        <v>1</v>
      </c>
      <c r="AJ73" s="217">
        <v>0</v>
      </c>
      <c r="AK73" s="217">
        <v>2</v>
      </c>
      <c r="AL73" s="218">
        <v>0.02</v>
      </c>
      <c r="AM73" s="189"/>
      <c r="AN73" s="193">
        <f t="shared" si="10"/>
        <v>0</v>
      </c>
      <c r="AO73" s="193">
        <f t="shared" si="10"/>
        <v>0</v>
      </c>
      <c r="AP73" s="193">
        <f t="shared" si="10"/>
        <v>0</v>
      </c>
      <c r="AQ73" s="193">
        <f t="shared" si="10"/>
        <v>0</v>
      </c>
      <c r="AR73" s="193">
        <f t="shared" si="11"/>
        <v>0</v>
      </c>
      <c r="AT73" s="193" t="str">
        <f t="shared" si="12"/>
        <v>Amarelo</v>
      </c>
      <c r="AU73" s="193" t="str">
        <f t="shared" si="12"/>
        <v>Verde</v>
      </c>
      <c r="AV73" s="193" t="str">
        <f t="shared" si="12"/>
        <v>Verde</v>
      </c>
      <c r="AW73" s="193" t="str">
        <f t="shared" si="12"/>
        <v/>
      </c>
    </row>
    <row r="74" spans="10:49" ht="51.75" x14ac:dyDescent="0.25">
      <c r="J74" s="221" t="s">
        <v>1131</v>
      </c>
      <c r="K74" s="222" t="s">
        <v>159</v>
      </c>
      <c r="L74" s="222" t="s">
        <v>97</v>
      </c>
      <c r="M74" s="222" t="s">
        <v>99</v>
      </c>
      <c r="N74" s="222" t="s">
        <v>171</v>
      </c>
      <c r="O74" s="223"/>
      <c r="P74" s="223"/>
      <c r="Q74" s="223" t="s">
        <v>260</v>
      </c>
      <c r="R74" s="223"/>
      <c r="S74" s="224">
        <v>1.4999999999999999E-2</v>
      </c>
      <c r="U74" s="193">
        <f t="shared" si="7"/>
        <v>1</v>
      </c>
      <c r="V74" s="140">
        <f>IF(VLOOKUP($N74,'Resumen Items'!$E:$AP,27,0)="",VLOOKUP($N74,'Resumen Items'!$E:$AP,5,0),VLOOKUP($N74,'Resumen Items'!$E:$AP,27,0))</f>
        <v>3</v>
      </c>
      <c r="W74" s="140">
        <f>IF(VLOOKUP($N74,'Resumen Items'!$E:$AP,28,0)="",VLOOKUP($N74,'Resumen Items'!$E:$AP,6,0),VLOOKUP($N74,'Resumen Items'!$E:$AP,28,0))</f>
        <v>1</v>
      </c>
      <c r="X74" s="140" t="str">
        <f>IF(VLOOKUP($N74,'Resumen Items'!$E:$AP,29,0)="",VLOOKUP($N74,'Resumen Items'!$E:$AP,7,0),VLOOKUP($N74,'Resumen Items'!$E:$AP,29,0))</f>
        <v/>
      </c>
      <c r="Y74" s="140" t="str">
        <f>IF(VLOOKUP($N74,'Resumen Items'!$E:$AP,30,0)="",VLOOKUP($N74,'Resumen Items'!$E:$AP,8,0),VLOOKUP($N74,'Resumen Items'!$E:$AP,30,0))</f>
        <v/>
      </c>
      <c r="Z74" s="193">
        <f t="shared" si="13"/>
        <v>0</v>
      </c>
      <c r="AA74" s="193">
        <f t="shared" si="13"/>
        <v>0</v>
      </c>
      <c r="AB74" s="193">
        <f t="shared" si="13"/>
        <v>0</v>
      </c>
      <c r="AC74" s="193">
        <f t="shared" si="13"/>
        <v>0</v>
      </c>
      <c r="AD74" s="193">
        <f t="shared" si="9"/>
        <v>0</v>
      </c>
      <c r="AE74" s="189">
        <f>IF(VLOOKUP($N74,'Resumen Items'!$E:$AP,27,0)="",VLOOKUP($N74,'Resumen Items'!$E:$AP,4,0),VLOOKUP($N74,'Resumen Items'!$E:$AP,25,0))</f>
        <v>6.0000000000000001E-3</v>
      </c>
      <c r="AG74" s="217">
        <v>0</v>
      </c>
      <c r="AH74" s="217">
        <v>0</v>
      </c>
      <c r="AI74" s="217">
        <v>0</v>
      </c>
      <c r="AJ74" s="217">
        <v>0</v>
      </c>
      <c r="AK74" s="217">
        <v>0</v>
      </c>
      <c r="AL74" s="218">
        <v>1.2749999999999999E-2</v>
      </c>
      <c r="AM74" s="189"/>
      <c r="AN74" s="193">
        <f t="shared" si="10"/>
        <v>0</v>
      </c>
      <c r="AO74" s="193">
        <f t="shared" si="10"/>
        <v>0</v>
      </c>
      <c r="AP74" s="193">
        <f t="shared" si="10"/>
        <v>0</v>
      </c>
      <c r="AQ74" s="193">
        <f t="shared" si="10"/>
        <v>0</v>
      </c>
      <c r="AR74" s="193">
        <f t="shared" si="11"/>
        <v>0</v>
      </c>
      <c r="AT74" s="193" t="str">
        <f t="shared" si="12"/>
        <v>Amarelo</v>
      </c>
      <c r="AU74" s="193" t="str">
        <f t="shared" si="12"/>
        <v/>
      </c>
      <c r="AV74" s="193" t="str">
        <f t="shared" si="12"/>
        <v/>
      </c>
      <c r="AW74" s="193" t="str">
        <f t="shared" si="12"/>
        <v/>
      </c>
    </row>
    <row r="75" spans="10:49" ht="34.5" x14ac:dyDescent="0.25">
      <c r="J75" s="214" t="s">
        <v>1131</v>
      </c>
      <c r="K75" s="215" t="s">
        <v>159</v>
      </c>
      <c r="L75" s="215" t="s">
        <v>100</v>
      </c>
      <c r="M75" s="215" t="s">
        <v>102</v>
      </c>
      <c r="N75" s="215" t="s">
        <v>172</v>
      </c>
      <c r="O75" s="215" t="s">
        <v>260</v>
      </c>
      <c r="P75" s="215" t="s">
        <v>260</v>
      </c>
      <c r="Q75" s="215" t="s">
        <v>260</v>
      </c>
      <c r="R75" s="215"/>
      <c r="S75" s="216">
        <v>1.4999999999999999E-2</v>
      </c>
      <c r="U75" s="193">
        <f t="shared" si="7"/>
        <v>3</v>
      </c>
      <c r="V75" s="140">
        <f>IF(VLOOKUP($N75,'Resumen Items'!$E:$AP,27,0)="",VLOOKUP($N75,'Resumen Items'!$E:$AP,5,0),VLOOKUP($N75,'Resumen Items'!$E:$AP,27,0))</f>
        <v>3</v>
      </c>
      <c r="W75" s="140">
        <f>IF(VLOOKUP($N75,'Resumen Items'!$E:$AP,28,0)="",VLOOKUP($N75,'Resumen Items'!$E:$AP,6,0),VLOOKUP($N75,'Resumen Items'!$E:$AP,28,0))</f>
        <v>3</v>
      </c>
      <c r="X75" s="140" t="str">
        <f>IF(VLOOKUP($N75,'Resumen Items'!$E:$AP,29,0)="",VLOOKUP($N75,'Resumen Items'!$E:$AP,7,0),VLOOKUP($N75,'Resumen Items'!$E:$AP,29,0))</f>
        <v/>
      </c>
      <c r="Y75" s="140" t="str">
        <f>IF(VLOOKUP($N75,'Resumen Items'!$E:$AP,30,0)="",VLOOKUP($N75,'Resumen Items'!$E:$AP,8,0),VLOOKUP($N75,'Resumen Items'!$E:$AP,30,0))</f>
        <v/>
      </c>
      <c r="Z75" s="193">
        <f t="shared" si="13"/>
        <v>1</v>
      </c>
      <c r="AA75" s="193">
        <f t="shared" si="13"/>
        <v>1</v>
      </c>
      <c r="AB75" s="193">
        <f t="shared" si="13"/>
        <v>0</v>
      </c>
      <c r="AC75" s="193">
        <f t="shared" si="13"/>
        <v>0</v>
      </c>
      <c r="AD75" s="193">
        <f t="shared" si="9"/>
        <v>2</v>
      </c>
      <c r="AE75" s="189">
        <f>IF(VLOOKUP($N75,'Resumen Items'!$E:$AP,27,0)="",VLOOKUP($N75,'Resumen Items'!$E:$AP,4,0),VLOOKUP($N75,'Resumen Items'!$E:$AP,25,0))</f>
        <v>1.0499999999999999E-2</v>
      </c>
      <c r="AG75" s="217">
        <v>1</v>
      </c>
      <c r="AH75" s="217">
        <v>1</v>
      </c>
      <c r="AI75" s="217">
        <v>0</v>
      </c>
      <c r="AJ75" s="217">
        <v>0</v>
      </c>
      <c r="AK75" s="217">
        <v>2</v>
      </c>
      <c r="AL75" s="218">
        <v>1.2749999999999999E-2</v>
      </c>
      <c r="AM75" s="189"/>
      <c r="AN75" s="193">
        <f t="shared" si="10"/>
        <v>0</v>
      </c>
      <c r="AO75" s="193">
        <f t="shared" si="10"/>
        <v>0</v>
      </c>
      <c r="AP75" s="193">
        <f t="shared" si="10"/>
        <v>0</v>
      </c>
      <c r="AQ75" s="193">
        <f t="shared" si="10"/>
        <v>0</v>
      </c>
      <c r="AR75" s="193">
        <f t="shared" si="11"/>
        <v>0</v>
      </c>
      <c r="AT75" s="193" t="str">
        <f t="shared" si="12"/>
        <v>Verde</v>
      </c>
      <c r="AU75" s="193" t="str">
        <f t="shared" si="12"/>
        <v>Verde</v>
      </c>
      <c r="AV75" s="193" t="str">
        <f t="shared" si="12"/>
        <v/>
      </c>
      <c r="AW75" s="193" t="str">
        <f t="shared" si="12"/>
        <v/>
      </c>
    </row>
    <row r="76" spans="10:49" ht="51.75" x14ac:dyDescent="0.25">
      <c r="J76" s="221" t="s">
        <v>1131</v>
      </c>
      <c r="K76" s="222" t="s">
        <v>16</v>
      </c>
      <c r="L76" s="222" t="s">
        <v>79</v>
      </c>
      <c r="M76" s="222" t="s">
        <v>173</v>
      </c>
      <c r="N76" s="222" t="s">
        <v>174</v>
      </c>
      <c r="O76" s="223"/>
      <c r="P76" s="223"/>
      <c r="Q76" s="223" t="s">
        <v>260</v>
      </c>
      <c r="R76" s="223" t="s">
        <v>260</v>
      </c>
      <c r="S76" s="224">
        <v>0.02</v>
      </c>
      <c r="U76" s="193">
        <f t="shared" si="7"/>
        <v>2</v>
      </c>
      <c r="V76" s="140">
        <f>IF(VLOOKUP($N76,'Resumen Items'!$E:$AP,27,0)="",VLOOKUP($N76,'Resumen Items'!$E:$AP,5,0),VLOOKUP($N76,'Resumen Items'!$E:$AP,27,0))</f>
        <v>3</v>
      </c>
      <c r="W76" s="140">
        <f>IF(VLOOKUP($N76,'Resumen Items'!$E:$AP,28,0)="",VLOOKUP($N76,'Resumen Items'!$E:$AP,6,0),VLOOKUP($N76,'Resumen Items'!$E:$AP,28,0))</f>
        <v>3</v>
      </c>
      <c r="X76" s="140">
        <f>IF(VLOOKUP($N76,'Resumen Items'!$E:$AP,29,0)="",VLOOKUP($N76,'Resumen Items'!$E:$AP,7,0),VLOOKUP($N76,'Resumen Items'!$E:$AP,29,0))</f>
        <v>3</v>
      </c>
      <c r="Y76" s="140">
        <f>IF(VLOOKUP($N76,'Resumen Items'!$E:$AP,30,0)="",VLOOKUP($N76,'Resumen Items'!$E:$AP,8,0),VLOOKUP($N76,'Resumen Items'!$E:$AP,30,0))</f>
        <v>3</v>
      </c>
      <c r="Z76" s="193">
        <f t="shared" si="13"/>
        <v>0</v>
      </c>
      <c r="AA76" s="193">
        <f t="shared" si="13"/>
        <v>0</v>
      </c>
      <c r="AB76" s="193">
        <f t="shared" si="13"/>
        <v>1</v>
      </c>
      <c r="AC76" s="193">
        <f t="shared" si="13"/>
        <v>1</v>
      </c>
      <c r="AD76" s="193">
        <f t="shared" si="9"/>
        <v>2</v>
      </c>
      <c r="AE76" s="189">
        <f>IF(VLOOKUP($N76,'Resumen Items'!$E:$AP,27,0)="",VLOOKUP($N76,'Resumen Items'!$E:$AP,4,0),VLOOKUP($N76,'Resumen Items'!$E:$AP,25,0))</f>
        <v>0.02</v>
      </c>
      <c r="AG76" s="217">
        <v>0</v>
      </c>
      <c r="AH76" s="217">
        <v>0</v>
      </c>
      <c r="AI76" s="217">
        <v>0</v>
      </c>
      <c r="AJ76" s="217">
        <v>0</v>
      </c>
      <c r="AK76" s="217">
        <v>0</v>
      </c>
      <c r="AL76" s="218">
        <v>0.02</v>
      </c>
      <c r="AM76" s="189"/>
      <c r="AN76" s="193">
        <f t="shared" si="10"/>
        <v>0</v>
      </c>
      <c r="AO76" s="193">
        <f t="shared" si="10"/>
        <v>0</v>
      </c>
      <c r="AP76" s="193">
        <f t="shared" si="10"/>
        <v>0</v>
      </c>
      <c r="AQ76" s="193">
        <f t="shared" si="10"/>
        <v>0</v>
      </c>
      <c r="AR76" s="193">
        <f t="shared" si="11"/>
        <v>0</v>
      </c>
      <c r="AT76" s="193" t="str">
        <f t="shared" si="12"/>
        <v>Amarelo</v>
      </c>
      <c r="AU76" s="193" t="str">
        <f t="shared" si="12"/>
        <v>Amarelo</v>
      </c>
      <c r="AV76" s="193" t="str">
        <f t="shared" si="12"/>
        <v>Verde</v>
      </c>
      <c r="AW76" s="193" t="str">
        <f t="shared" si="12"/>
        <v>Verde</v>
      </c>
    </row>
    <row r="77" spans="10:49" ht="51.75" x14ac:dyDescent="0.25">
      <c r="J77" s="214" t="s">
        <v>1131</v>
      </c>
      <c r="K77" s="215" t="s">
        <v>16</v>
      </c>
      <c r="L77" s="215" t="s">
        <v>81</v>
      </c>
      <c r="M77" s="215" t="s">
        <v>173</v>
      </c>
      <c r="N77" s="215" t="s">
        <v>175</v>
      </c>
      <c r="O77" s="215"/>
      <c r="P77" s="215"/>
      <c r="Q77" s="215"/>
      <c r="R77" s="215" t="s">
        <v>260</v>
      </c>
      <c r="S77" s="216">
        <v>5.0000000000000001E-3</v>
      </c>
      <c r="U77" s="193">
        <f t="shared" si="7"/>
        <v>1</v>
      </c>
      <c r="V77" s="140">
        <f>IF(VLOOKUP($N77,'Resumen Items'!$E:$AP,27,0)="",VLOOKUP($N77,'Resumen Items'!$E:$AP,5,0),VLOOKUP($N77,'Resumen Items'!$E:$AP,27,0))</f>
        <v>3</v>
      </c>
      <c r="W77" s="140">
        <f>IF(VLOOKUP($N77,'Resumen Items'!$E:$AP,28,0)="",VLOOKUP($N77,'Resumen Items'!$E:$AP,6,0),VLOOKUP($N77,'Resumen Items'!$E:$AP,28,0))</f>
        <v>3</v>
      </c>
      <c r="X77" s="140">
        <f>IF(VLOOKUP($N77,'Resumen Items'!$E:$AP,29,0)="",VLOOKUP($N77,'Resumen Items'!$E:$AP,7,0),VLOOKUP($N77,'Resumen Items'!$E:$AP,29,0))</f>
        <v>3</v>
      </c>
      <c r="Y77" s="140">
        <f>IF(VLOOKUP($N77,'Resumen Items'!$E:$AP,30,0)="",VLOOKUP($N77,'Resumen Items'!$E:$AP,8,0),VLOOKUP($N77,'Resumen Items'!$E:$AP,30,0))</f>
        <v>3</v>
      </c>
      <c r="Z77" s="193">
        <f t="shared" si="13"/>
        <v>0</v>
      </c>
      <c r="AA77" s="193">
        <f t="shared" si="13"/>
        <v>0</v>
      </c>
      <c r="AB77" s="193">
        <f t="shared" si="13"/>
        <v>0</v>
      </c>
      <c r="AC77" s="193">
        <f t="shared" si="13"/>
        <v>1</v>
      </c>
      <c r="AD77" s="193">
        <f t="shared" si="9"/>
        <v>1</v>
      </c>
      <c r="AE77" s="189">
        <f>IF(VLOOKUP($N77,'Resumen Items'!$E:$AP,27,0)="",VLOOKUP($N77,'Resumen Items'!$E:$AP,4,0),VLOOKUP($N77,'Resumen Items'!$E:$AP,25,0))</f>
        <v>5.0000000000000001E-3</v>
      </c>
      <c r="AG77" s="217">
        <v>0</v>
      </c>
      <c r="AH77" s="217">
        <v>0</v>
      </c>
      <c r="AI77" s="217">
        <v>0</v>
      </c>
      <c r="AJ77" s="217">
        <v>1</v>
      </c>
      <c r="AK77" s="217">
        <v>1</v>
      </c>
      <c r="AL77" s="218">
        <v>5.0000000000000001E-3</v>
      </c>
      <c r="AM77" s="189"/>
      <c r="AN77" s="193">
        <f t="shared" si="10"/>
        <v>0</v>
      </c>
      <c r="AO77" s="193">
        <f t="shared" si="10"/>
        <v>0</v>
      </c>
      <c r="AP77" s="193">
        <f t="shared" si="10"/>
        <v>0</v>
      </c>
      <c r="AQ77" s="193">
        <f t="shared" si="10"/>
        <v>0</v>
      </c>
      <c r="AR77" s="193">
        <f t="shared" si="11"/>
        <v>0</v>
      </c>
      <c r="AT77" s="193" t="str">
        <f t="shared" si="12"/>
        <v>Amarelo</v>
      </c>
      <c r="AU77" s="193" t="str">
        <f t="shared" si="12"/>
        <v>Amarelo</v>
      </c>
      <c r="AV77" s="193" t="str">
        <f t="shared" si="12"/>
        <v>Amarelo</v>
      </c>
      <c r="AW77" s="193" t="str">
        <f t="shared" si="12"/>
        <v>Verde</v>
      </c>
    </row>
    <row r="78" spans="10:49" ht="34.5" x14ac:dyDescent="0.25">
      <c r="J78" s="221" t="s">
        <v>1131</v>
      </c>
      <c r="K78" s="222" t="s">
        <v>16</v>
      </c>
      <c r="L78" s="222" t="s">
        <v>83</v>
      </c>
      <c r="M78" s="222" t="s">
        <v>176</v>
      </c>
      <c r="N78" s="222" t="s">
        <v>177</v>
      </c>
      <c r="O78" s="223"/>
      <c r="P78" s="223" t="s">
        <v>260</v>
      </c>
      <c r="Q78" s="223" t="s">
        <v>260</v>
      </c>
      <c r="R78" s="223" t="s">
        <v>260</v>
      </c>
      <c r="S78" s="224">
        <v>0.01</v>
      </c>
      <c r="U78" s="193">
        <f t="shared" si="7"/>
        <v>3</v>
      </c>
      <c r="V78" s="140">
        <f>IF(VLOOKUP($N78,'Resumen Items'!$E:$AP,27,0)="",VLOOKUP($N78,'Resumen Items'!$E:$AP,5,0),VLOOKUP($N78,'Resumen Items'!$E:$AP,27,0))</f>
        <v>3</v>
      </c>
      <c r="W78" s="140">
        <f>IF(VLOOKUP($N78,'Resumen Items'!$E:$AP,28,0)="",VLOOKUP($N78,'Resumen Items'!$E:$AP,6,0),VLOOKUP($N78,'Resumen Items'!$E:$AP,28,0))</f>
        <v>3</v>
      </c>
      <c r="X78" s="140">
        <f>IF(VLOOKUP($N78,'Resumen Items'!$E:$AP,29,0)="",VLOOKUP($N78,'Resumen Items'!$E:$AP,7,0),VLOOKUP($N78,'Resumen Items'!$E:$AP,29,0))</f>
        <v>3</v>
      </c>
      <c r="Y78" s="140">
        <f>IF(VLOOKUP($N78,'Resumen Items'!$E:$AP,30,0)="",VLOOKUP($N78,'Resumen Items'!$E:$AP,8,0),VLOOKUP($N78,'Resumen Items'!$E:$AP,30,0))</f>
        <v>1</v>
      </c>
      <c r="Z78" s="193">
        <f t="shared" si="13"/>
        <v>0</v>
      </c>
      <c r="AA78" s="193">
        <f t="shared" si="13"/>
        <v>1</v>
      </c>
      <c r="AB78" s="193">
        <f t="shared" si="13"/>
        <v>1</v>
      </c>
      <c r="AC78" s="193">
        <f t="shared" si="13"/>
        <v>0</v>
      </c>
      <c r="AD78" s="193">
        <f t="shared" si="9"/>
        <v>2</v>
      </c>
      <c r="AE78" s="189">
        <f>IF(VLOOKUP($N78,'Resumen Items'!$E:$AP,27,0)="",VLOOKUP($N78,'Resumen Items'!$E:$AP,4,0),VLOOKUP($N78,'Resumen Items'!$E:$AP,25,0))</f>
        <v>8.5000000000000006E-3</v>
      </c>
      <c r="AG78" s="217">
        <v>0</v>
      </c>
      <c r="AH78" s="217">
        <v>1</v>
      </c>
      <c r="AI78" s="217">
        <v>1</v>
      </c>
      <c r="AJ78" s="217">
        <v>0</v>
      </c>
      <c r="AK78" s="217">
        <v>2</v>
      </c>
      <c r="AL78" s="218">
        <v>0.01</v>
      </c>
      <c r="AM78" s="189"/>
      <c r="AN78" s="193">
        <f t="shared" si="10"/>
        <v>0</v>
      </c>
      <c r="AO78" s="193">
        <f t="shared" si="10"/>
        <v>0</v>
      </c>
      <c r="AP78" s="193">
        <f t="shared" si="10"/>
        <v>0</v>
      </c>
      <c r="AQ78" s="193">
        <f t="shared" si="10"/>
        <v>0</v>
      </c>
      <c r="AR78" s="193">
        <f t="shared" si="11"/>
        <v>0</v>
      </c>
      <c r="AT78" s="193" t="str">
        <f t="shared" si="12"/>
        <v>Amarelo</v>
      </c>
      <c r="AU78" s="193" t="str">
        <f t="shared" si="12"/>
        <v>Verde</v>
      </c>
      <c r="AV78" s="193" t="str">
        <f t="shared" si="12"/>
        <v>Verde</v>
      </c>
      <c r="AW78" s="193" t="str">
        <f t="shared" si="12"/>
        <v/>
      </c>
    </row>
    <row r="79" spans="10:49" ht="34.5" x14ac:dyDescent="0.25">
      <c r="J79" s="214" t="s">
        <v>1131</v>
      </c>
      <c r="K79" s="215" t="s">
        <v>16</v>
      </c>
      <c r="L79" s="215" t="s">
        <v>85</v>
      </c>
      <c r="M79" s="215" t="s">
        <v>105</v>
      </c>
      <c r="N79" s="215" t="s">
        <v>178</v>
      </c>
      <c r="O79" s="215"/>
      <c r="P79" s="215"/>
      <c r="Q79" s="215" t="s">
        <v>260</v>
      </c>
      <c r="R79" s="215"/>
      <c r="S79" s="216">
        <v>0.01</v>
      </c>
      <c r="U79" s="193">
        <f t="shared" si="7"/>
        <v>1</v>
      </c>
      <c r="V79" s="140">
        <f>IF(VLOOKUP($N79,'Resumen Items'!$E:$AP,27,0)="",VLOOKUP($N79,'Resumen Items'!$E:$AP,5,0),VLOOKUP($N79,'Resumen Items'!$E:$AP,27,0))</f>
        <v>3</v>
      </c>
      <c r="W79" s="140">
        <f>IF(VLOOKUP($N79,'Resumen Items'!$E:$AP,28,0)="",VLOOKUP($N79,'Resumen Items'!$E:$AP,6,0),VLOOKUP($N79,'Resumen Items'!$E:$AP,28,0))</f>
        <v>3</v>
      </c>
      <c r="X79" s="140">
        <f>IF(VLOOKUP($N79,'Resumen Items'!$E:$AP,29,0)="",VLOOKUP($N79,'Resumen Items'!$E:$AP,7,0),VLOOKUP($N79,'Resumen Items'!$E:$AP,29,0))</f>
        <v>3</v>
      </c>
      <c r="Y79" s="140">
        <f>IF(VLOOKUP($N79,'Resumen Items'!$E:$AP,30,0)="",VLOOKUP($N79,'Resumen Items'!$E:$AP,8,0),VLOOKUP($N79,'Resumen Items'!$E:$AP,30,0))</f>
        <v>3</v>
      </c>
      <c r="Z79" s="193">
        <f t="shared" si="13"/>
        <v>0</v>
      </c>
      <c r="AA79" s="193">
        <f t="shared" si="13"/>
        <v>0</v>
      </c>
      <c r="AB79" s="193">
        <f t="shared" si="13"/>
        <v>1</v>
      </c>
      <c r="AC79" s="193">
        <f t="shared" si="13"/>
        <v>0</v>
      </c>
      <c r="AD79" s="193">
        <f t="shared" si="9"/>
        <v>1</v>
      </c>
      <c r="AE79" s="189">
        <f>IF(VLOOKUP($N79,'Resumen Items'!$E:$AP,27,0)="",VLOOKUP($N79,'Resumen Items'!$E:$AP,4,0),VLOOKUP($N79,'Resumen Items'!$E:$AP,25,0))</f>
        <v>0.01</v>
      </c>
      <c r="AG79" s="217">
        <v>0</v>
      </c>
      <c r="AH79" s="217">
        <v>0</v>
      </c>
      <c r="AI79" s="217">
        <v>1</v>
      </c>
      <c r="AJ79" s="217">
        <v>0</v>
      </c>
      <c r="AK79" s="217">
        <v>1</v>
      </c>
      <c r="AL79" s="218">
        <v>0.01</v>
      </c>
      <c r="AM79" s="189"/>
      <c r="AN79" s="193">
        <f t="shared" si="10"/>
        <v>0</v>
      </c>
      <c r="AO79" s="193">
        <f t="shared" si="10"/>
        <v>0</v>
      </c>
      <c r="AP79" s="193">
        <f t="shared" si="10"/>
        <v>0</v>
      </c>
      <c r="AQ79" s="193">
        <f t="shared" si="10"/>
        <v>0</v>
      </c>
      <c r="AR79" s="193">
        <f t="shared" si="11"/>
        <v>0</v>
      </c>
      <c r="AT79" s="193" t="str">
        <f t="shared" si="12"/>
        <v>Amarelo</v>
      </c>
      <c r="AU79" s="193" t="str">
        <f t="shared" si="12"/>
        <v>Amarelo</v>
      </c>
      <c r="AV79" s="193" t="str">
        <f t="shared" si="12"/>
        <v>Verde</v>
      </c>
      <c r="AW79" s="193" t="str">
        <f t="shared" si="12"/>
        <v>Amarelo</v>
      </c>
    </row>
    <row r="80" spans="10:49" ht="51.75" x14ac:dyDescent="0.25">
      <c r="J80" s="221" t="s">
        <v>1131</v>
      </c>
      <c r="K80" s="222" t="s">
        <v>16</v>
      </c>
      <c r="L80" s="222" t="s">
        <v>88</v>
      </c>
      <c r="M80" s="222" t="s">
        <v>179</v>
      </c>
      <c r="N80" s="222" t="s">
        <v>180</v>
      </c>
      <c r="O80" s="223"/>
      <c r="P80" s="223"/>
      <c r="Q80" s="223"/>
      <c r="R80" s="223"/>
      <c r="S80" s="224">
        <v>0.01</v>
      </c>
      <c r="U80" s="193">
        <f t="shared" si="7"/>
        <v>0</v>
      </c>
      <c r="V80" s="140">
        <f>IF(VLOOKUP($N80,'Resumen Items'!$E:$AP,27,0)="",VLOOKUP($N80,'Resumen Items'!$E:$AP,5,0),VLOOKUP($N80,'Resumen Items'!$E:$AP,27,0))</f>
        <v>3</v>
      </c>
      <c r="W80" s="140">
        <f>IF(VLOOKUP($N80,'Resumen Items'!$E:$AP,28,0)="",VLOOKUP($N80,'Resumen Items'!$E:$AP,6,0),VLOOKUP($N80,'Resumen Items'!$E:$AP,28,0))</f>
        <v>3</v>
      </c>
      <c r="X80" s="140">
        <f>IF(VLOOKUP($N80,'Resumen Items'!$E:$AP,29,0)="",VLOOKUP($N80,'Resumen Items'!$E:$AP,7,0),VLOOKUP($N80,'Resumen Items'!$E:$AP,29,0))</f>
        <v>3</v>
      </c>
      <c r="Y80" s="140">
        <f>IF(VLOOKUP($N80,'Resumen Items'!$E:$AP,30,0)="",VLOOKUP($N80,'Resumen Items'!$E:$AP,8,0),VLOOKUP($N80,'Resumen Items'!$E:$AP,30,0))</f>
        <v>3</v>
      </c>
      <c r="Z80" s="193">
        <f t="shared" si="13"/>
        <v>0</v>
      </c>
      <c r="AA80" s="193">
        <f t="shared" si="13"/>
        <v>0</v>
      </c>
      <c r="AB80" s="193">
        <f t="shared" si="13"/>
        <v>0</v>
      </c>
      <c r="AC80" s="193">
        <f t="shared" si="13"/>
        <v>0</v>
      </c>
      <c r="AD80" s="193">
        <f t="shared" si="9"/>
        <v>0</v>
      </c>
      <c r="AE80" s="189">
        <f>IF(VLOOKUP($N80,'Resumen Items'!$E:$AP,27,0)="",VLOOKUP($N80,'Resumen Items'!$E:$AP,4,0),VLOOKUP($N80,'Resumen Items'!$E:$AP,25,0))</f>
        <v>5.0000000000000001E-3</v>
      </c>
      <c r="AG80" s="217">
        <v>0</v>
      </c>
      <c r="AH80" s="217">
        <v>0</v>
      </c>
      <c r="AI80" s="217">
        <v>0</v>
      </c>
      <c r="AJ80" s="217">
        <v>0</v>
      </c>
      <c r="AK80" s="217">
        <v>0</v>
      </c>
      <c r="AL80" s="218">
        <v>5.0000000000000001E-3</v>
      </c>
      <c r="AM80" s="189"/>
      <c r="AN80" s="193">
        <f t="shared" si="10"/>
        <v>0</v>
      </c>
      <c r="AO80" s="193">
        <f t="shared" si="10"/>
        <v>0</v>
      </c>
      <c r="AP80" s="193">
        <f t="shared" si="10"/>
        <v>0</v>
      </c>
      <c r="AQ80" s="193">
        <f t="shared" si="10"/>
        <v>0</v>
      </c>
      <c r="AR80" s="193">
        <f t="shared" si="11"/>
        <v>0</v>
      </c>
      <c r="AT80" s="193" t="str">
        <f t="shared" si="12"/>
        <v>Amarelo</v>
      </c>
      <c r="AU80" s="193" t="str">
        <f t="shared" si="12"/>
        <v>Amarelo</v>
      </c>
      <c r="AV80" s="193" t="str">
        <f t="shared" si="12"/>
        <v>Amarelo</v>
      </c>
      <c r="AW80" s="193" t="str">
        <f t="shared" si="12"/>
        <v>Amarelo</v>
      </c>
    </row>
  </sheetData>
  <mergeCells count="4">
    <mergeCell ref="V15:Y15"/>
    <mergeCell ref="Z15:AD15"/>
    <mergeCell ref="AG15:AK15"/>
    <mergeCell ref="AT15:AW15"/>
  </mergeCells>
  <conditionalFormatting sqref="O17:R80">
    <cfRule type="expression" dxfId="1064" priority="1">
      <formula>AT17="Verde"</formula>
    </cfRule>
    <cfRule type="expression" dxfId="1063" priority="2">
      <formula>AT17="Amarelo"</formula>
    </cfRule>
    <cfRule type="expression" dxfId="1062" priority="3">
      <formula>AT17="Laranja"</formula>
    </cfRule>
  </conditionalFormatting>
  <conditionalFormatting sqref="V17:Y80">
    <cfRule type="iconSet" priority="4">
      <iconSet showValue="0">
        <cfvo type="percent" val="0"/>
        <cfvo type="num" val="2"/>
        <cfvo type="num" val="3"/>
      </iconSet>
    </cfRule>
  </conditionalFormatting>
  <pageMargins left="0.511811024" right="0.511811024" top="0.78740157499999996" bottom="0.78740157499999996" header="0.31496062000000002" footer="0.31496062000000002"/>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755D7-93AC-4212-9004-65F932D5973D}">
  <sheetPr codeName="Planilha39"/>
  <dimension ref="A1:AB51"/>
  <sheetViews>
    <sheetView showGridLines="0" zoomScale="50" zoomScaleNormal="50" workbookViewId="0">
      <pane xSplit="3" ySplit="4" topLeftCell="D11"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631</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2</v>
      </c>
      <c r="G7" s="48">
        <f>IF($N$24&lt;&gt;"",IF($N$24=3,3,IF($N$24=2,2,1)),"")</f>
        <v>1</v>
      </c>
      <c r="H7" s="48">
        <f>IF($Q$24&lt;&gt;"",IF($Q$24=3,3,IF($Q$24=2,2,1)),"")</f>
        <v>1</v>
      </c>
      <c r="I7" s="48">
        <f>IF($T$24&lt;&gt;"",IF($T$24=3,3,IF($T$24=2,2,1)),"")</f>
        <v>1</v>
      </c>
      <c r="J7" s="32"/>
      <c r="K7" s="49" t="s">
        <v>224</v>
      </c>
      <c r="L7" s="46" t="s">
        <v>225</v>
      </c>
      <c r="M7" s="267" t="s">
        <v>632</v>
      </c>
      <c r="N7" s="267"/>
      <c r="O7" s="267"/>
      <c r="P7" s="46" t="s">
        <v>227</v>
      </c>
      <c r="Q7" s="267" t="s">
        <v>633</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0.01</v>
      </c>
      <c r="F10" s="52" t="str">
        <f>IF(K20="D","D","-")</f>
        <v>-</v>
      </c>
      <c r="G10" s="52" t="str">
        <f>IF(N20="D","D","-")</f>
        <v>D</v>
      </c>
      <c r="H10" s="52" t="str">
        <f>IF(Q20="D","D","-")</f>
        <v>D</v>
      </c>
      <c r="I10" s="52" t="str">
        <f>IF(T20="D","D","-")</f>
        <v>-</v>
      </c>
      <c r="J10" s="32"/>
      <c r="K10" s="66" t="s">
        <v>230</v>
      </c>
      <c r="L10" s="50" t="s">
        <v>231</v>
      </c>
      <c r="M10" s="75">
        <v>3</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0.01</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246</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306</v>
      </c>
      <c r="I16" s="9" t="s">
        <v>250</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0.01</v>
      </c>
      <c r="F18" s="116"/>
      <c r="G18" s="116"/>
      <c r="H18" s="116"/>
      <c r="I18" s="116"/>
      <c r="J18" s="9"/>
      <c r="K18" s="266" t="s">
        <v>634</v>
      </c>
      <c r="L18" s="264"/>
      <c r="M18" s="265"/>
      <c r="N18" s="266" t="s">
        <v>635</v>
      </c>
      <c r="O18" s="264"/>
      <c r="P18" s="265"/>
      <c r="Q18" s="266" t="s">
        <v>636</v>
      </c>
      <c r="R18" s="264"/>
      <c r="S18" s="265"/>
      <c r="T18" s="266" t="s">
        <v>637</v>
      </c>
      <c r="U18" s="264"/>
      <c r="V18" s="265"/>
      <c r="W18" s="9"/>
      <c r="X18" s="9"/>
      <c r="Y18" s="23"/>
    </row>
    <row r="19" spans="1:25" ht="141.75" customHeight="1" outlineLevel="2" x14ac:dyDescent="0.3">
      <c r="A19" s="1"/>
      <c r="B19" s="283"/>
      <c r="C19" s="283"/>
      <c r="D19" s="42" t="s">
        <v>257</v>
      </c>
      <c r="E19" s="307" t="s">
        <v>638</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131</v>
      </c>
      <c r="F20" s="288"/>
      <c r="G20" s="288"/>
      <c r="H20" s="288"/>
      <c r="I20" s="288"/>
      <c r="J20" s="25"/>
      <c r="K20" s="266"/>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574</v>
      </c>
      <c r="L21" s="264"/>
      <c r="M21" s="265"/>
      <c r="N21" s="266" t="s">
        <v>639</v>
      </c>
      <c r="O21" s="264"/>
      <c r="P21" s="265"/>
      <c r="Q21" s="266" t="s">
        <v>640</v>
      </c>
      <c r="R21" s="264"/>
      <c r="S21" s="265"/>
      <c r="T21" s="266" t="s">
        <v>383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2</v>
      </c>
      <c r="L24" s="40">
        <v>3</v>
      </c>
      <c r="M24" s="289"/>
      <c r="N24" s="56">
        <v>1</v>
      </c>
      <c r="O24" s="40">
        <v>3</v>
      </c>
      <c r="P24" s="289"/>
      <c r="Q24" s="56">
        <v>1</v>
      </c>
      <c r="R24" s="40">
        <v>3</v>
      </c>
      <c r="S24" s="289" t="s">
        <v>641</v>
      </c>
      <c r="T24" s="56">
        <v>1</v>
      </c>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642</v>
      </c>
      <c r="L26" s="45" t="s">
        <v>643</v>
      </c>
      <c r="M26" s="289"/>
      <c r="N26" s="58"/>
      <c r="O26" s="45" t="s">
        <v>1152</v>
      </c>
      <c r="P26" s="289"/>
      <c r="Q26" s="58" t="s">
        <v>644</v>
      </c>
      <c r="R26" s="45" t="s">
        <v>1157</v>
      </c>
      <c r="S26" s="289"/>
      <c r="T26" s="58"/>
      <c r="U26" s="45" t="s">
        <v>645</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607" priority="2" operator="containsText" text="Finalizado">
      <formula>NOT(ISERROR(SEARCH("Finalizado",D15)))</formula>
    </cfRule>
    <cfRule type="containsText" dxfId="606" priority="3" operator="containsText" text="No Planificado">
      <formula>NOT(ISERROR(SEARCH("No Planificado",D15)))</formula>
    </cfRule>
    <cfRule type="containsText" dxfId="605" priority="4" operator="containsText" text="A Tiempo">
      <formula>NOT(ISERROR(SEARCH("A Tiempo",D15)))</formula>
    </cfRule>
    <cfRule type="containsText" dxfId="604"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603" priority="20" operator="containsText" text="PENDIENTE">
      <formula>NOT(ISERROR(SEARCH("PENDIENTE",K25)))</formula>
    </cfRule>
    <cfRule type="containsText" dxfId="602" priority="21" operator="containsText" text="NO VALIDADO">
      <formula>NOT(ISERROR(SEARCH("NO VALIDADO",K25)))</formula>
    </cfRule>
    <cfRule type="containsText" dxfId="601" priority="22" operator="containsText" text="VALIDADO">
      <formula>NOT(ISERROR(SEARCH("VALIDADO",K25)))</formula>
    </cfRule>
  </conditionalFormatting>
  <conditionalFormatting sqref="N25:O25">
    <cfRule type="containsText" dxfId="600" priority="17" operator="containsText" text="PENDIENTE">
      <formula>NOT(ISERROR(SEARCH("PENDIENTE",N25)))</formula>
    </cfRule>
    <cfRule type="containsText" dxfId="599" priority="18" operator="containsText" text="NO VALIDADO">
      <formula>NOT(ISERROR(SEARCH("NO VALIDADO",N25)))</formula>
    </cfRule>
    <cfRule type="containsText" dxfId="598" priority="19" operator="containsText" text="VALIDADO">
      <formula>NOT(ISERROR(SEARCH("VALIDADO",N25)))</formula>
    </cfRule>
  </conditionalFormatting>
  <conditionalFormatting sqref="Q25:R25">
    <cfRule type="containsText" dxfId="597" priority="14" operator="containsText" text="PENDIENTE">
      <formula>NOT(ISERROR(SEARCH("PENDIENTE",Q25)))</formula>
    </cfRule>
    <cfRule type="containsText" dxfId="596" priority="15" operator="containsText" text="NO VALIDADO">
      <formula>NOT(ISERROR(SEARCH("NO VALIDADO",Q25)))</formula>
    </cfRule>
    <cfRule type="containsText" dxfId="595" priority="16" operator="containsText" text="VALIDADO">
      <formula>NOT(ISERROR(SEARCH("VALIDADO",Q25)))</formula>
    </cfRule>
  </conditionalFormatting>
  <conditionalFormatting sqref="T25:U25">
    <cfRule type="containsText" dxfId="594" priority="11" operator="containsText" text="PENDIENTE">
      <formula>NOT(ISERROR(SEARCH("PENDIENTE",T25)))</formula>
    </cfRule>
    <cfRule type="containsText" dxfId="593" priority="12" operator="containsText" text="NO VALIDADO">
      <formula>NOT(ISERROR(SEARCH("NO VALIDADO",T25)))</formula>
    </cfRule>
    <cfRule type="containsText" dxfId="592" priority="13" operator="containsText" text="VALIDADO">
      <formula>NOT(ISERROR(SEARCH("VALIDADO",T25)))</formula>
    </cfRule>
  </conditionalFormatting>
  <dataValidations count="6">
    <dataValidation type="list" allowBlank="1" showInputMessage="1" showErrorMessage="1" sqref="D10" xr:uid="{70CF016E-7395-4B98-B284-8DF06265AF09}">
      <formula1>"No Cumple, Parcial,Cumple,Más que Cumple,Mejor Práctica"</formula1>
    </dataValidation>
    <dataValidation type="list" allowBlank="1" showInputMessage="1" showErrorMessage="1" sqref="S10 Q10" xr:uid="{3BFEFE19-CA2A-4474-AC0C-D640968BD43B}">
      <formula1>"Junio,Julio,Agosto,Septiembre,Octubre"</formula1>
    </dataValidation>
    <dataValidation type="list" allowBlank="1" showInputMessage="1" showErrorMessage="1" sqref="O10" xr:uid="{F477EF39-76C4-4D59-8605-8ED8E1B57B7B}">
      <formula1>"Alta,Baja,No Planificado"</formula1>
    </dataValidation>
    <dataValidation type="list" allowBlank="1" showInputMessage="1" showErrorMessage="1" sqref="AB14:AB15 R14:R15 N14:N15 V14:V15" xr:uid="{34100E0E-CB11-4613-A12D-757EDE5EA063}">
      <formula1>"No Cumple, Parcial, Cumple, Más que Cumple, Mejor Práctica"</formula1>
    </dataValidation>
    <dataValidation type="list" allowBlank="1" showInputMessage="1" showErrorMessage="1" sqref="M12 Q12 U12" xr:uid="{1571DD5F-98E0-48E6-ACCF-D5C4E5823490}">
      <formula1>"Mayo,Junio,Julio,Agosto,Septiembre,Octubre"</formula1>
    </dataValidation>
    <dataValidation type="list" allowBlank="1" showInputMessage="1" showErrorMessage="1" sqref="K14:K15 O14:O15 S14:S15" xr:uid="{97A67C94-33DC-41AC-9D7E-FD65823EC113}">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DB67E5AA-E4D2-4AEF-AAF3-6AA7C29F6E57}">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529B1-620F-4E7F-AD27-CD174BE2BB9D}">
  <sheetPr codeName="Planilha40"/>
  <dimension ref="A1:AB51"/>
  <sheetViews>
    <sheetView showGridLines="0" zoomScale="50" zoomScaleNormal="50" workbookViewId="0">
      <pane xSplit="3" ySplit="4" topLeftCell="D13"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646</v>
      </c>
      <c r="L3" s="301"/>
      <c r="M3" s="301"/>
      <c r="N3" s="301"/>
      <c r="O3" s="301"/>
      <c r="P3" s="301"/>
      <c r="Q3" s="301"/>
      <c r="R3" s="301"/>
      <c r="S3" s="301"/>
      <c r="T3" s="301"/>
      <c r="U3" s="301"/>
      <c r="V3" s="301"/>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302"/>
      <c r="U4" s="302"/>
      <c r="V4" s="302"/>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
      </c>
      <c r="E7" s="47">
        <f>IF($D7="Não cumpre",0,IF($D7="Parcial",$E$18*0.4,IF($D7="Cumpre",$E$18*0.7,IF($D7="Mais que cumpre",$E$18*0.85,IF($D7="Melhor Prática",$E$18,0)))))</f>
        <v>0</v>
      </c>
      <c r="F7" s="48" t="str">
        <f>IF($K$24&lt;&gt;"",IF($K$24=3,3,IF($K$24=2,2,1)),"")</f>
        <v/>
      </c>
      <c r="G7" s="48" t="str">
        <f>IF($N$24&lt;&gt;"",IF($N$24=3,3,IF($N$24=2,2,1)),"")</f>
        <v/>
      </c>
      <c r="H7" s="48" t="str">
        <f>IF($Q$24&lt;&gt;"",IF($Q$24=3,3,IF($Q$24=2,2,1)),"")</f>
        <v/>
      </c>
      <c r="I7" s="48" t="str">
        <f>IF($T$24&lt;&gt;"",IF($T$24=3,3,IF($T$24=2,2,1)),"")</f>
        <v/>
      </c>
      <c r="J7" s="32"/>
      <c r="K7" s="49" t="s">
        <v>224</v>
      </c>
      <c r="L7" s="46" t="s">
        <v>225</v>
      </c>
      <c r="M7" s="267" t="s">
        <v>647</v>
      </c>
      <c r="N7" s="267"/>
      <c r="O7" s="267"/>
      <c r="P7" s="46" t="s">
        <v>227</v>
      </c>
      <c r="Q7" s="267" t="s">
        <v>648</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8.5000000000000006E-3</v>
      </c>
      <c r="F10" s="52" t="str">
        <f>IF(K20="D","D","-")</f>
        <v>-</v>
      </c>
      <c r="G10" s="52" t="str">
        <f>IF(N20="D","D","-")</f>
        <v>D</v>
      </c>
      <c r="H10" s="52" t="str">
        <f>IF(Q20="D","D","-")</f>
        <v>-</v>
      </c>
      <c r="I10" s="52" t="str">
        <f>IF(T20="D","D","-")</f>
        <v>-</v>
      </c>
      <c r="J10" s="32"/>
      <c r="K10" s="66" t="s">
        <v>230</v>
      </c>
      <c r="L10" s="50" t="s">
        <v>231</v>
      </c>
      <c r="M10" s="75">
        <v>1</v>
      </c>
      <c r="N10" s="50" t="s">
        <v>232</v>
      </c>
      <c r="O10" s="53" t="s">
        <v>374</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Não cumpre</v>
      </c>
      <c r="E12" s="273">
        <f>IF($D12="Não cumpre",0,IF($D12="Parcial",$E$18*0.4,IF($D12="Cumpre",$E$18*0.7,IF($D12="Mais que cumpre",$E$18*0.85,IF($D12="Melhor Prática",$E$18,0)))))</f>
        <v>0</v>
      </c>
      <c r="F12" s="268">
        <f>IF($L$24&lt;&gt;"",IF($L$24=3,3,IF($L$24=2,2,1)),"")</f>
        <v>1</v>
      </c>
      <c r="G12" s="268" t="str">
        <f>IF($O$24&lt;&gt;"",IF($O$24=3,3,IF($O$24=2,2,1)),"")</f>
        <v/>
      </c>
      <c r="H12" s="268" t="str">
        <f>IF($R$24&lt;&gt;"",IF($R$24=3,3,IF($R$24=2,2,1)),"")</f>
        <v/>
      </c>
      <c r="I12" s="268" t="str">
        <f>IF($U$24&lt;&gt;"",IF($U$24=3,3,IF($U$24=2,2,1)),"")</f>
        <v/>
      </c>
      <c r="J12" s="32"/>
      <c r="K12" s="300" t="s">
        <v>240</v>
      </c>
      <c r="L12" s="274"/>
      <c r="M12" s="280" t="s">
        <v>321</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390</v>
      </c>
      <c r="O14" s="266" t="s">
        <v>247</v>
      </c>
      <c r="P14" s="286"/>
      <c r="Q14" s="286"/>
      <c r="R14" s="265" t="s">
        <v>390</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0.01</v>
      </c>
      <c r="F18" s="116"/>
      <c r="G18" s="116"/>
      <c r="H18" s="116"/>
      <c r="I18" s="116"/>
      <c r="J18" s="9"/>
      <c r="K18" s="266" t="s">
        <v>649</v>
      </c>
      <c r="L18" s="264"/>
      <c r="M18" s="265"/>
      <c r="N18" s="266" t="s">
        <v>650</v>
      </c>
      <c r="O18" s="264"/>
      <c r="P18" s="265"/>
      <c r="Q18" s="266" t="s">
        <v>651</v>
      </c>
      <c r="R18" s="264"/>
      <c r="S18" s="265"/>
      <c r="T18" s="266" t="s">
        <v>652</v>
      </c>
      <c r="U18" s="264"/>
      <c r="V18" s="265"/>
      <c r="W18" s="9"/>
      <c r="X18" s="9"/>
      <c r="Y18" s="23"/>
    </row>
    <row r="19" spans="1:25" ht="141.75" customHeight="1" outlineLevel="2" x14ac:dyDescent="0.3">
      <c r="A19" s="1"/>
      <c r="B19" s="283"/>
      <c r="C19" s="283"/>
      <c r="D19" s="42" t="s">
        <v>257</v>
      </c>
      <c r="E19" s="307" t="s">
        <v>653</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131</v>
      </c>
      <c r="F20" s="288"/>
      <c r="G20" s="288"/>
      <c r="H20" s="288"/>
      <c r="I20" s="288"/>
      <c r="J20" s="25"/>
      <c r="K20" s="266"/>
      <c r="L20" s="264"/>
      <c r="M20" s="265"/>
      <c r="N20" s="266" t="s">
        <v>260</v>
      </c>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441</v>
      </c>
      <c r="L21" s="264"/>
      <c r="M21" s="265"/>
      <c r="N21" s="266" t="s">
        <v>654</v>
      </c>
      <c r="O21" s="264"/>
      <c r="P21" s="265"/>
      <c r="Q21" s="266" t="s">
        <v>655</v>
      </c>
      <c r="R21" s="264"/>
      <c r="S21" s="265"/>
      <c r="T21" s="266" t="s">
        <v>654</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c r="L24" s="40">
        <v>1</v>
      </c>
      <c r="M24" s="289"/>
      <c r="N24" s="56"/>
      <c r="O24" s="40"/>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c r="L26" s="45" t="s">
        <v>656</v>
      </c>
      <c r="M26" s="289"/>
      <c r="N26" s="58"/>
      <c r="O26" s="45"/>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V14:V15"/>
    <mergeCell ref="D15:I15"/>
    <mergeCell ref="B18:C21"/>
    <mergeCell ref="K18:M19"/>
    <mergeCell ref="N18:P19"/>
    <mergeCell ref="Q18:S19"/>
    <mergeCell ref="T18:V19"/>
    <mergeCell ref="E19:I19"/>
    <mergeCell ref="D20:D21"/>
    <mergeCell ref="E20:I21"/>
    <mergeCell ref="K20:M20"/>
    <mergeCell ref="N20:P20"/>
    <mergeCell ref="K17:M17"/>
    <mergeCell ref="N17:P17"/>
    <mergeCell ref="Q17:S17"/>
    <mergeCell ref="T17:V17"/>
    <mergeCell ref="D2:I2"/>
    <mergeCell ref="D3:I4"/>
    <mergeCell ref="D5:I5"/>
    <mergeCell ref="K5:R5"/>
    <mergeCell ref="G12:G13"/>
    <mergeCell ref="I12:I13"/>
    <mergeCell ref="K12:L12"/>
    <mergeCell ref="M12:N12"/>
    <mergeCell ref="O12:P12"/>
    <mergeCell ref="L13:M13"/>
    <mergeCell ref="P13:Q13"/>
    <mergeCell ref="Q12:R12"/>
    <mergeCell ref="B10:C10"/>
    <mergeCell ref="B7:C7"/>
    <mergeCell ref="M7:O8"/>
    <mergeCell ref="Q7:S8"/>
    <mergeCell ref="K3:V4"/>
    <mergeCell ref="S14:S15"/>
    <mergeCell ref="T14:U15"/>
    <mergeCell ref="B12:C15"/>
    <mergeCell ref="D12:D14"/>
    <mergeCell ref="E12:E14"/>
    <mergeCell ref="F12:F13"/>
    <mergeCell ref="H12:H13"/>
    <mergeCell ref="R14:R15"/>
    <mergeCell ref="K14:K15"/>
    <mergeCell ref="L14:M15"/>
    <mergeCell ref="N14:N15"/>
    <mergeCell ref="O14:O15"/>
    <mergeCell ref="P14:Q15"/>
    <mergeCell ref="S12:T12"/>
    <mergeCell ref="U12:V12"/>
    <mergeCell ref="T13:U13"/>
  </mergeCells>
  <conditionalFormatting sqref="D15:I15">
    <cfRule type="containsText" dxfId="591" priority="2" operator="containsText" text="Finalizado">
      <formula>NOT(ISERROR(SEARCH("Finalizado",D15)))</formula>
    </cfRule>
    <cfRule type="containsText" dxfId="590" priority="3" operator="containsText" text="No Planificado">
      <formula>NOT(ISERROR(SEARCH("No Planificado",D15)))</formula>
    </cfRule>
    <cfRule type="containsText" dxfId="589" priority="4" operator="containsText" text="A Tiempo">
      <formula>NOT(ISERROR(SEARCH("A Tiempo",D15)))</formula>
    </cfRule>
    <cfRule type="containsText" dxfId="588"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587" priority="20" operator="containsText" text="PENDIENTE">
      <formula>NOT(ISERROR(SEARCH("PENDIENTE",K25)))</formula>
    </cfRule>
    <cfRule type="containsText" dxfId="586" priority="21" operator="containsText" text="NO VALIDADO">
      <formula>NOT(ISERROR(SEARCH("NO VALIDADO",K25)))</formula>
    </cfRule>
    <cfRule type="containsText" dxfId="585" priority="22" operator="containsText" text="VALIDADO">
      <formula>NOT(ISERROR(SEARCH("VALIDADO",K25)))</formula>
    </cfRule>
  </conditionalFormatting>
  <conditionalFormatting sqref="N25:O25">
    <cfRule type="containsText" dxfId="584" priority="17" operator="containsText" text="PENDIENTE">
      <formula>NOT(ISERROR(SEARCH("PENDIENTE",N25)))</formula>
    </cfRule>
    <cfRule type="containsText" dxfId="583" priority="18" operator="containsText" text="NO VALIDADO">
      <formula>NOT(ISERROR(SEARCH("NO VALIDADO",N25)))</formula>
    </cfRule>
    <cfRule type="containsText" dxfId="582" priority="19" operator="containsText" text="VALIDADO">
      <formula>NOT(ISERROR(SEARCH("VALIDADO",N25)))</formula>
    </cfRule>
  </conditionalFormatting>
  <conditionalFormatting sqref="Q25:R25">
    <cfRule type="containsText" dxfId="581" priority="14" operator="containsText" text="PENDIENTE">
      <formula>NOT(ISERROR(SEARCH("PENDIENTE",Q25)))</formula>
    </cfRule>
    <cfRule type="containsText" dxfId="580" priority="15" operator="containsText" text="NO VALIDADO">
      <formula>NOT(ISERROR(SEARCH("NO VALIDADO",Q25)))</formula>
    </cfRule>
    <cfRule type="containsText" dxfId="579" priority="16" operator="containsText" text="VALIDADO">
      <formula>NOT(ISERROR(SEARCH("VALIDADO",Q25)))</formula>
    </cfRule>
  </conditionalFormatting>
  <conditionalFormatting sqref="T25:U25">
    <cfRule type="containsText" dxfId="578" priority="11" operator="containsText" text="PENDIENTE">
      <formula>NOT(ISERROR(SEARCH("PENDIENTE",T25)))</formula>
    </cfRule>
    <cfRule type="containsText" dxfId="577" priority="12" operator="containsText" text="NO VALIDADO">
      <formula>NOT(ISERROR(SEARCH("NO VALIDADO",T25)))</formula>
    </cfRule>
    <cfRule type="containsText" dxfId="576" priority="13" operator="containsText" text="VALIDADO">
      <formula>NOT(ISERROR(SEARCH("VALIDADO",T25)))</formula>
    </cfRule>
  </conditionalFormatting>
  <dataValidations count="6">
    <dataValidation type="list" allowBlank="1" showInputMessage="1" showErrorMessage="1" sqref="K14:K15 O14:O15 S14:S15" xr:uid="{F1F4CEEC-2AC1-41A4-9AFA-17EAA8E1D786}">
      <formula1>"No Iniciado, En Progreso,Finalizado"</formula1>
    </dataValidation>
    <dataValidation type="list" allowBlank="1" showInputMessage="1" showErrorMessage="1" sqref="M12 Q12 U12" xr:uid="{FFE304EF-CFED-49BD-8243-5D7E7F469B3F}">
      <formula1>"Mayo,Junio,Julio,Agosto,Septiembre,Octubre"</formula1>
    </dataValidation>
    <dataValidation type="list" allowBlank="1" showInputMessage="1" showErrorMessage="1" sqref="AB14:AB15 R14:R15 N14:N15 V14:V15" xr:uid="{B29140CD-B89C-4571-8670-1AD1CBB36C5B}">
      <formula1>"No Cumple, Parcial, Cumple, Más que Cumple, Mejor Práctica"</formula1>
    </dataValidation>
    <dataValidation type="list" allowBlank="1" showInputMessage="1" showErrorMessage="1" sqref="O10" xr:uid="{F76B6AFD-55DA-44C7-8F0C-46DB3B843CCC}">
      <formula1>"Alta,Baja,No Planificado"</formula1>
    </dataValidation>
    <dataValidation type="list" allowBlank="1" showInputMessage="1" showErrorMessage="1" sqref="S10 Q10" xr:uid="{A8923127-330F-4F94-A32C-3F2B11D60B23}">
      <formula1>"Junio,Julio,Agosto,Septiembre,Octubre"</formula1>
    </dataValidation>
    <dataValidation type="list" allowBlank="1" showInputMessage="1" showErrorMessage="1" sqref="D10" xr:uid="{3116DF71-F6A2-4DE8-BE19-53F6DB5F8692}">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3D075781-F64E-499C-A5FC-641600481C67}">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4EC48-588F-43E6-A64D-7C3E84496D7B}">
  <sheetPr codeName="Planilha41">
    <pageSetUpPr autoPageBreaks="0"/>
  </sheetPr>
  <dimension ref="A1:AB51"/>
  <sheetViews>
    <sheetView showGridLines="0" zoomScale="50" zoomScaleNormal="50" workbookViewId="0">
      <pane xSplit="3" ySplit="4" topLeftCell="D17"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657</v>
      </c>
      <c r="L3" s="297"/>
      <c r="M3" s="297"/>
      <c r="N3" s="297"/>
      <c r="O3" s="297"/>
      <c r="P3" s="297"/>
      <c r="Q3" s="297"/>
      <c r="R3" s="297"/>
      <c r="S3" s="297"/>
      <c r="T3" s="297"/>
      <c r="U3" s="297"/>
      <c r="V3" s="297"/>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298"/>
      <c r="U4" s="298"/>
      <c r="V4" s="298"/>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2</v>
      </c>
      <c r="H7" s="48" t="str">
        <f>IF($Q$24&lt;&gt;"",IF($Q$24=3,3,IF($Q$24=2,2,1)),"")</f>
        <v/>
      </c>
      <c r="I7" s="48" t="str">
        <f>IF($T$24&lt;&gt;"",IF($T$24=3,3,IF($T$24=2,2,1)),"")</f>
        <v/>
      </c>
      <c r="J7" s="32"/>
      <c r="K7" s="49" t="s">
        <v>224</v>
      </c>
      <c r="L7" s="46" t="s">
        <v>225</v>
      </c>
      <c r="M7" s="267" t="s">
        <v>658</v>
      </c>
      <c r="N7" s="267"/>
      <c r="O7" s="267"/>
      <c r="P7" s="46" t="s">
        <v>227</v>
      </c>
      <c r="Q7" s="267" t="s">
        <v>659</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
        <v>660</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2.1250000000000002E-2</v>
      </c>
      <c r="F10" s="52" t="str">
        <f>IF(K20="D","D","-")</f>
        <v>D</v>
      </c>
      <c r="G10" s="52" t="str">
        <f>IF(N20="D","D","-")</f>
        <v>D</v>
      </c>
      <c r="H10" s="52" t="str">
        <f>IF(Q20="D","D","-")</f>
        <v>D</v>
      </c>
      <c r="I10" s="52" t="str">
        <f>IF(T20="D","D","-")</f>
        <v>D</v>
      </c>
      <c r="J10" s="32"/>
      <c r="K10" s="66" t="s">
        <v>230</v>
      </c>
      <c r="L10" s="50" t="s">
        <v>231</v>
      </c>
      <c r="M10" s="75">
        <v>2</v>
      </c>
      <c r="N10" s="50" t="s">
        <v>232</v>
      </c>
      <c r="O10" s="53" t="s">
        <v>302</v>
      </c>
      <c r="P10" s="50" t="s">
        <v>233</v>
      </c>
      <c r="Q10" s="92" t="s">
        <v>286</v>
      </c>
      <c r="R10" s="50" t="s">
        <v>235</v>
      </c>
      <c r="S10" s="92" t="s">
        <v>303</v>
      </c>
      <c r="T10" s="50" t="s">
        <v>237</v>
      </c>
      <c r="U10" s="53" t="s">
        <v>531</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Parcial</v>
      </c>
      <c r="E12" s="273">
        <f>IF($D12="Não cumpre",0,IF($D12="Parcial",$E$18*0.4,IF($D12="Cumpre",$E$18*0.7,IF($D12="Mais que cumpre",$E$18*0.85,IF($D12="Melhor Prática",$E$18,0)))))</f>
        <v>1.0000000000000002E-2</v>
      </c>
      <c r="F12" s="268">
        <f>IF($L$24&lt;&gt;"",IF($L$24=3,3,IF($L$24=2,2,1)),"")</f>
        <v>3</v>
      </c>
      <c r="G12" s="268">
        <f>IF($O$24&lt;&gt;"",IF($O$24=3,3,IF($O$24=2,2,1)),"")</f>
        <v>2</v>
      </c>
      <c r="H12" s="268" t="str">
        <f>IF($R$24&lt;&gt;"",IF($R$24=3,3,IF($R$24=2,2,1)),"")</f>
        <v/>
      </c>
      <c r="I12" s="268" t="str">
        <f>IF($U$24&lt;&gt;"",IF($U$24=3,3,IF($U$24=2,2,1)),"")</f>
        <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246</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2.5000000000000001E-2</v>
      </c>
      <c r="F18" s="116"/>
      <c r="G18" s="116"/>
      <c r="H18" s="116"/>
      <c r="I18" s="116"/>
      <c r="J18" s="9"/>
      <c r="K18" s="266" t="s">
        <v>661</v>
      </c>
      <c r="L18" s="264"/>
      <c r="M18" s="265"/>
      <c r="N18" s="266" t="s">
        <v>662</v>
      </c>
      <c r="O18" s="264"/>
      <c r="P18" s="265"/>
      <c r="Q18" s="266" t="s">
        <v>663</v>
      </c>
      <c r="R18" s="264"/>
      <c r="S18" s="265"/>
      <c r="T18" s="266" t="s">
        <v>664</v>
      </c>
      <c r="U18" s="264"/>
      <c r="V18" s="265"/>
      <c r="W18" s="9"/>
      <c r="X18" s="9"/>
      <c r="Y18" s="23"/>
    </row>
    <row r="19" spans="1:25" ht="141.75" customHeight="1" outlineLevel="2" x14ac:dyDescent="0.3">
      <c r="A19" s="1"/>
      <c r="B19" s="283"/>
      <c r="C19" s="283"/>
      <c r="D19" s="42" t="s">
        <v>257</v>
      </c>
      <c r="E19" s="307" t="s">
        <v>665</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131</v>
      </c>
      <c r="F20" s="288"/>
      <c r="G20" s="288"/>
      <c r="H20" s="288"/>
      <c r="I20" s="288"/>
      <c r="J20" s="25"/>
      <c r="K20" s="266" t="s">
        <v>260</v>
      </c>
      <c r="L20" s="264"/>
      <c r="M20" s="265"/>
      <c r="N20" s="266" t="s">
        <v>260</v>
      </c>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666</v>
      </c>
      <c r="L21" s="264"/>
      <c r="M21" s="265"/>
      <c r="N21" s="266" t="s">
        <v>624</v>
      </c>
      <c r="O21" s="264"/>
      <c r="P21" s="265"/>
      <c r="Q21" s="266" t="s">
        <v>667</v>
      </c>
      <c r="R21" s="264"/>
      <c r="S21" s="265"/>
      <c r="T21" s="266" t="s">
        <v>522</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2</v>
      </c>
      <c r="O24" s="40">
        <v>2</v>
      </c>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140.25" customHeight="1" x14ac:dyDescent="0.3">
      <c r="A26" s="1"/>
      <c r="B26" s="9"/>
      <c r="C26" s="9"/>
      <c r="D26" s="9"/>
      <c r="F26" s="291"/>
      <c r="G26" s="292" t="s">
        <v>242</v>
      </c>
      <c r="H26" s="292"/>
      <c r="I26" s="292"/>
      <c r="K26" s="58" t="s">
        <v>668</v>
      </c>
      <c r="L26" s="45" t="s">
        <v>1153</v>
      </c>
      <c r="M26" s="289"/>
      <c r="N26" s="58" t="s">
        <v>669</v>
      </c>
      <c r="O26" s="45" t="s">
        <v>670</v>
      </c>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53"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V14:V15"/>
    <mergeCell ref="D15:I15"/>
    <mergeCell ref="B18:C21"/>
    <mergeCell ref="K18:M19"/>
    <mergeCell ref="N18:P19"/>
    <mergeCell ref="Q18:S19"/>
    <mergeCell ref="T18:V19"/>
    <mergeCell ref="E19:I19"/>
    <mergeCell ref="D20:D21"/>
    <mergeCell ref="E20:I21"/>
    <mergeCell ref="K20:M20"/>
    <mergeCell ref="N20:P20"/>
    <mergeCell ref="K17:M17"/>
    <mergeCell ref="N17:P17"/>
    <mergeCell ref="Q17:S17"/>
    <mergeCell ref="T17:V17"/>
    <mergeCell ref="D2:I2"/>
    <mergeCell ref="D3:I4"/>
    <mergeCell ref="D5:I5"/>
    <mergeCell ref="K5:R5"/>
    <mergeCell ref="G12:G13"/>
    <mergeCell ref="I12:I13"/>
    <mergeCell ref="K12:L12"/>
    <mergeCell ref="M12:N12"/>
    <mergeCell ref="O12:P12"/>
    <mergeCell ref="L13:M13"/>
    <mergeCell ref="P13:Q13"/>
    <mergeCell ref="Q12:R12"/>
    <mergeCell ref="B10:C10"/>
    <mergeCell ref="B7:C7"/>
    <mergeCell ref="M7:O8"/>
    <mergeCell ref="Q7:S8"/>
    <mergeCell ref="K3:V4"/>
    <mergeCell ref="S14:S15"/>
    <mergeCell ref="T14:U15"/>
    <mergeCell ref="B12:C15"/>
    <mergeCell ref="D12:D14"/>
    <mergeCell ref="E12:E14"/>
    <mergeCell ref="F12:F13"/>
    <mergeCell ref="H12:H13"/>
    <mergeCell ref="R14:R15"/>
    <mergeCell ref="K14:K15"/>
    <mergeCell ref="L14:M15"/>
    <mergeCell ref="N14:N15"/>
    <mergeCell ref="O14:O15"/>
    <mergeCell ref="P14:Q15"/>
    <mergeCell ref="S12:T12"/>
    <mergeCell ref="U12:V12"/>
    <mergeCell ref="T13:U13"/>
  </mergeCells>
  <conditionalFormatting sqref="D15:I15">
    <cfRule type="containsText" dxfId="575" priority="2" operator="containsText" text="Finalizado">
      <formula>NOT(ISERROR(SEARCH("Finalizado",D15)))</formula>
    </cfRule>
    <cfRule type="containsText" dxfId="574" priority="3" operator="containsText" text="No Planificado">
      <formula>NOT(ISERROR(SEARCH("No Planificado",D15)))</formula>
    </cfRule>
    <cfRule type="containsText" dxfId="573" priority="4" operator="containsText" text="A Tiempo">
      <formula>NOT(ISERROR(SEARCH("A Tiempo",D15)))</formula>
    </cfRule>
    <cfRule type="containsText" dxfId="572"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571" priority="20" operator="containsText" text="PENDIENTE">
      <formula>NOT(ISERROR(SEARCH("PENDIENTE",K25)))</formula>
    </cfRule>
    <cfRule type="containsText" dxfId="570" priority="21" operator="containsText" text="NO VALIDADO">
      <formula>NOT(ISERROR(SEARCH("NO VALIDADO",K25)))</formula>
    </cfRule>
    <cfRule type="containsText" dxfId="569" priority="22" operator="containsText" text="VALIDADO">
      <formula>NOT(ISERROR(SEARCH("VALIDADO",K25)))</formula>
    </cfRule>
  </conditionalFormatting>
  <conditionalFormatting sqref="N25:O25">
    <cfRule type="containsText" dxfId="568" priority="17" operator="containsText" text="PENDIENTE">
      <formula>NOT(ISERROR(SEARCH("PENDIENTE",N25)))</formula>
    </cfRule>
    <cfRule type="containsText" dxfId="567" priority="18" operator="containsText" text="NO VALIDADO">
      <formula>NOT(ISERROR(SEARCH("NO VALIDADO",N25)))</formula>
    </cfRule>
    <cfRule type="containsText" dxfId="566" priority="19" operator="containsText" text="VALIDADO">
      <formula>NOT(ISERROR(SEARCH("VALIDADO",N25)))</formula>
    </cfRule>
  </conditionalFormatting>
  <conditionalFormatting sqref="Q25:R25">
    <cfRule type="containsText" dxfId="565" priority="14" operator="containsText" text="PENDIENTE">
      <formula>NOT(ISERROR(SEARCH("PENDIENTE",Q25)))</formula>
    </cfRule>
    <cfRule type="containsText" dxfId="564" priority="15" operator="containsText" text="NO VALIDADO">
      <formula>NOT(ISERROR(SEARCH("NO VALIDADO",Q25)))</formula>
    </cfRule>
    <cfRule type="containsText" dxfId="563" priority="16" operator="containsText" text="VALIDADO">
      <formula>NOT(ISERROR(SEARCH("VALIDADO",Q25)))</formula>
    </cfRule>
  </conditionalFormatting>
  <conditionalFormatting sqref="T25:U25">
    <cfRule type="containsText" dxfId="562" priority="11" operator="containsText" text="PENDIENTE">
      <formula>NOT(ISERROR(SEARCH("PENDIENTE",T25)))</formula>
    </cfRule>
    <cfRule type="containsText" dxfId="561" priority="12" operator="containsText" text="NO VALIDADO">
      <formula>NOT(ISERROR(SEARCH("NO VALIDADO",T25)))</formula>
    </cfRule>
    <cfRule type="containsText" dxfId="560" priority="13" operator="containsText" text="VALIDADO">
      <formula>NOT(ISERROR(SEARCH("VALIDADO",T25)))</formula>
    </cfRule>
  </conditionalFormatting>
  <dataValidations count="6">
    <dataValidation type="list" allowBlank="1" showInputMessage="1" showErrorMessage="1" sqref="K14:K15 O14:O15 S14:S15" xr:uid="{E946B74E-44D7-4FEF-A7DB-AC39A341BDDC}">
      <formula1>"No Iniciado, En Progreso,Finalizado"</formula1>
    </dataValidation>
    <dataValidation type="list" allowBlank="1" showInputMessage="1" showErrorMessage="1" sqref="M12 Q12 U12" xr:uid="{C1A23EFC-2DC7-4818-820B-E62E1E260A2F}">
      <formula1>"Mayo,Junio,Julio,Agosto,Septiembre,Octubre"</formula1>
    </dataValidation>
    <dataValidation type="list" allowBlank="1" showInputMessage="1" showErrorMessage="1" sqref="AB14:AB15 R14:R15 N14:N15 V14:V15" xr:uid="{80B1F7A7-D8D7-43F0-9F3D-6354FF5A6B43}">
      <formula1>"No Cumple, Parcial, Cumple, Más que Cumple, Mejor Práctica"</formula1>
    </dataValidation>
    <dataValidation type="list" allowBlank="1" showInputMessage="1" showErrorMessage="1" sqref="O10" xr:uid="{6B5A41B8-2CEA-4A45-AF77-5BFBB165AEAB}">
      <formula1>"Alta,Baja,No Planificado"</formula1>
    </dataValidation>
    <dataValidation type="list" allowBlank="1" showInputMessage="1" showErrorMessage="1" sqref="S10 Q10" xr:uid="{4206826A-B0A9-4090-A5A3-2EE0FC92D0E0}">
      <formula1>"Junio,Julio,Agosto,Septiembre,Octubre"</formula1>
    </dataValidation>
    <dataValidation type="list" allowBlank="1" showInputMessage="1" showErrorMessage="1" sqref="D10" xr:uid="{ECFDFFF7-669A-4E22-8B69-8A38D0D69B7A}">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163D4A4-6880-438A-AFEA-9FFA3DE3394D}">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2B07B-6724-4EF2-86F3-E591DB925077}">
  <sheetPr codeName="Planilha42"/>
  <dimension ref="A1:AB51"/>
  <sheetViews>
    <sheetView showGridLines="0" zoomScale="50" zoomScaleNormal="50" workbookViewId="0">
      <pane xSplit="3" ySplit="4" topLeftCell="D6"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97" t="s">
        <v>671</v>
      </c>
      <c r="L3" s="297"/>
      <c r="M3" s="297"/>
      <c r="N3" s="297"/>
      <c r="O3" s="297"/>
      <c r="P3" s="297"/>
      <c r="Q3" s="297"/>
      <c r="R3" s="297"/>
      <c r="S3" s="297"/>
      <c r="T3" s="63"/>
      <c r="U3" s="63"/>
      <c r="V3" s="63"/>
      <c r="W3" s="10"/>
      <c r="X3" s="10"/>
      <c r="Y3" s="12"/>
      <c r="Z3" s="12"/>
      <c r="AA3" s="12"/>
    </row>
    <row r="4" spans="1:28" ht="35.25" customHeight="1" x14ac:dyDescent="0.25">
      <c r="A4" s="1"/>
      <c r="B4" s="1"/>
      <c r="C4" s="10"/>
      <c r="D4" s="277"/>
      <c r="E4" s="277"/>
      <c r="F4" s="277"/>
      <c r="G4" s="277"/>
      <c r="H4" s="277"/>
      <c r="I4" s="277"/>
      <c r="J4" s="61"/>
      <c r="K4" s="298"/>
      <c r="L4" s="298"/>
      <c r="M4" s="298"/>
      <c r="N4" s="298"/>
      <c r="O4" s="298"/>
      <c r="P4" s="298"/>
      <c r="Q4" s="298"/>
      <c r="R4" s="298"/>
      <c r="S4" s="298"/>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
      </c>
      <c r="E7" s="47">
        <f>IF($D7="Não cumpre",0,IF($D7="Parcial",$E$18*0.4,IF($D7="Cumpre",$E$18*0.7,IF($D7="Mais que cumpre",$E$18*0.85,IF($D7="Melhor Prática",$E$18,0)))))</f>
        <v>0</v>
      </c>
      <c r="F7" s="48" t="str">
        <f>IF($K$24&lt;&gt;"",IF($K$24=3,3,IF($K$24=2,2,1)),"")</f>
        <v/>
      </c>
      <c r="G7" s="48" t="str">
        <f>IF($N$24&lt;&gt;"",IF($N$24=3,3,IF($N$24=2,2,1)),"")</f>
        <v/>
      </c>
      <c r="H7" s="48" t="str">
        <f>IF($Q$24&lt;&gt;"",IF($Q$24=3,3,IF($Q$24=2,2,1)),"")</f>
        <v/>
      </c>
      <c r="I7" s="48" t="str">
        <f>IF($T$24&lt;&gt;"",IF($T$24=3,3,IF($T$24=2,2,1)),"")</f>
        <v/>
      </c>
      <c r="J7" s="32"/>
      <c r="K7" s="49" t="s">
        <v>224</v>
      </c>
      <c r="L7" s="46" t="s">
        <v>225</v>
      </c>
      <c r="M7" s="267" t="s">
        <v>672</v>
      </c>
      <c r="N7" s="267"/>
      <c r="O7" s="267"/>
      <c r="P7" s="46" t="s">
        <v>227</v>
      </c>
      <c r="Q7" s="267" t="s">
        <v>673</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2.5000000000000001E-2</v>
      </c>
      <c r="F10" s="52" t="str">
        <f>IF(K20="D","D","-")</f>
        <v>-</v>
      </c>
      <c r="G10" s="52" t="str">
        <f>IF(N20="D","D","-")</f>
        <v>D</v>
      </c>
      <c r="H10" s="52" t="str">
        <f>IF(Q20="D","D","-")</f>
        <v>D</v>
      </c>
      <c r="I10" s="52" t="str">
        <f>IF(T20="D","D","-")</f>
        <v>D</v>
      </c>
      <c r="J10" s="32"/>
      <c r="K10" s="66" t="s">
        <v>230</v>
      </c>
      <c r="L10" s="50" t="s">
        <v>231</v>
      </c>
      <c r="M10" s="75">
        <v>1</v>
      </c>
      <c r="N10" s="50" t="s">
        <v>232</v>
      </c>
      <c r="O10" s="53" t="s">
        <v>302</v>
      </c>
      <c r="P10" s="50" t="s">
        <v>233</v>
      </c>
      <c r="Q10" s="92" t="s">
        <v>286</v>
      </c>
      <c r="R10" s="50" t="s">
        <v>235</v>
      </c>
      <c r="S10" s="92" t="s">
        <v>303</v>
      </c>
      <c r="T10" s="50" t="s">
        <v>237</v>
      </c>
      <c r="U10" s="53" t="s">
        <v>531</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2.5000000000000001E-2</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422</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2.5000000000000001E-2</v>
      </c>
      <c r="F18" s="116"/>
      <c r="G18" s="116"/>
      <c r="H18" s="116"/>
      <c r="I18" s="116"/>
      <c r="J18" s="9"/>
      <c r="K18" s="266" t="s">
        <v>674</v>
      </c>
      <c r="L18" s="264"/>
      <c r="M18" s="265"/>
      <c r="N18" s="266" t="s">
        <v>675</v>
      </c>
      <c r="O18" s="264"/>
      <c r="P18" s="265"/>
      <c r="Q18" s="266" t="s">
        <v>676</v>
      </c>
      <c r="R18" s="264"/>
      <c r="S18" s="265"/>
      <c r="T18" s="266" t="s">
        <v>677</v>
      </c>
      <c r="U18" s="264"/>
      <c r="V18" s="265"/>
      <c r="W18" s="9"/>
      <c r="X18" s="9"/>
      <c r="Y18" s="23"/>
    </row>
    <row r="19" spans="1:25" ht="141.75" customHeight="1" outlineLevel="2" x14ac:dyDescent="0.3">
      <c r="A19" s="1"/>
      <c r="B19" s="283"/>
      <c r="C19" s="283"/>
      <c r="D19" s="42" t="s">
        <v>257</v>
      </c>
      <c r="E19" s="307" t="s">
        <v>678</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131</v>
      </c>
      <c r="F20" s="288"/>
      <c r="G20" s="288"/>
      <c r="H20" s="288"/>
      <c r="I20" s="288"/>
      <c r="J20" s="25"/>
      <c r="K20" s="266"/>
      <c r="L20" s="264"/>
      <c r="M20" s="265"/>
      <c r="N20" s="266" t="s">
        <v>260</v>
      </c>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441</v>
      </c>
      <c r="L21" s="264"/>
      <c r="M21" s="265"/>
      <c r="N21" s="266" t="s">
        <v>443</v>
      </c>
      <c r="O21" s="264"/>
      <c r="P21" s="265"/>
      <c r="Q21" s="266" t="s">
        <v>443</v>
      </c>
      <c r="R21" s="264"/>
      <c r="S21" s="265"/>
      <c r="T21" s="266" t="s">
        <v>443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c r="L24" s="40">
        <v>3</v>
      </c>
      <c r="M24" s="289"/>
      <c r="N24" s="56"/>
      <c r="O24" s="40">
        <v>3</v>
      </c>
      <c r="P24" s="289"/>
      <c r="Q24" s="56"/>
      <c r="R24" s="40">
        <v>3</v>
      </c>
      <c r="S24" s="289"/>
      <c r="T24" s="56"/>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c r="L26" s="45" t="s">
        <v>679</v>
      </c>
      <c r="M26" s="289"/>
      <c r="N26" s="58"/>
      <c r="O26" s="45" t="s">
        <v>1158</v>
      </c>
      <c r="P26" s="289"/>
      <c r="Q26" s="58"/>
      <c r="R26" s="45" t="s">
        <v>1158</v>
      </c>
      <c r="S26" s="289"/>
      <c r="T26" s="58"/>
      <c r="U26" s="45" t="s">
        <v>1193</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559" priority="5" operator="containsText" text="Finalizado">
      <formula>NOT(ISERROR(SEARCH("Finalizado",D15)))</formula>
    </cfRule>
    <cfRule type="containsText" dxfId="558" priority="6" operator="containsText" text="No Planificado">
      <formula>NOT(ISERROR(SEARCH("No Planificado",D15)))</formula>
    </cfRule>
    <cfRule type="containsText" dxfId="557" priority="7" operator="containsText" text="A Tiempo">
      <formula>NOT(ISERROR(SEARCH("A Tiempo",D15)))</formula>
    </cfRule>
    <cfRule type="containsText" dxfId="556" priority="8" operator="containsText" text="Retrasado">
      <formula>NOT(ISERROR(SEARCH("Retrasado",D15)))</formula>
    </cfRule>
  </conditionalFormatting>
  <conditionalFormatting sqref="F7:F8">
    <cfRule type="iconSet" priority="12">
      <iconSet showValue="0">
        <cfvo type="percent" val="0"/>
        <cfvo type="num" val="2"/>
        <cfvo type="num" val="3"/>
      </iconSet>
    </cfRule>
  </conditionalFormatting>
  <conditionalFormatting sqref="F12 F14">
    <cfRule type="iconSet" priority="10">
      <iconSet showValue="0">
        <cfvo type="percent" val="0"/>
        <cfvo type="num" val="2"/>
        <cfvo type="num" val="3"/>
      </iconSet>
    </cfRule>
  </conditionalFormatting>
  <conditionalFormatting sqref="G7:I8">
    <cfRule type="iconSet" priority="11">
      <iconSet showValue="0">
        <cfvo type="percent" val="0"/>
        <cfvo type="num" val="2"/>
        <cfvo type="num" val="3"/>
      </iconSet>
    </cfRule>
  </conditionalFormatting>
  <conditionalFormatting sqref="G12:I12 G14:I14">
    <cfRule type="iconSet" priority="9">
      <iconSet showValue="0">
        <cfvo type="percent" val="0"/>
        <cfvo type="num" val="2"/>
        <cfvo type="num" val="3"/>
      </iconSet>
    </cfRule>
  </conditionalFormatting>
  <conditionalFormatting sqref="K24:L24 N24:O24 Q24:R24 T24:U24">
    <cfRule type="iconSet" priority="13">
      <iconSet showValue="0">
        <cfvo type="percent" val="0"/>
        <cfvo type="num" val="2"/>
        <cfvo type="num" val="3"/>
      </iconSet>
    </cfRule>
  </conditionalFormatting>
  <conditionalFormatting sqref="K25:L25">
    <cfRule type="containsText" dxfId="555" priority="23" operator="containsText" text="PENDIENTE">
      <formula>NOT(ISERROR(SEARCH("PENDIENTE",K25)))</formula>
    </cfRule>
    <cfRule type="containsText" dxfId="554" priority="24" operator="containsText" text="NO VALIDADO">
      <formula>NOT(ISERROR(SEARCH("NO VALIDADO",K25)))</formula>
    </cfRule>
    <cfRule type="containsText" dxfId="553" priority="25" operator="containsText" text="VALIDADO">
      <formula>NOT(ISERROR(SEARCH("VALIDADO",K25)))</formula>
    </cfRule>
  </conditionalFormatting>
  <conditionalFormatting sqref="N25:O25">
    <cfRule type="containsText" dxfId="552" priority="20" operator="containsText" text="PENDIENTE">
      <formula>NOT(ISERROR(SEARCH("PENDIENTE",N25)))</formula>
    </cfRule>
    <cfRule type="containsText" dxfId="551" priority="21" operator="containsText" text="NO VALIDADO">
      <formula>NOT(ISERROR(SEARCH("NO VALIDADO",N25)))</formula>
    </cfRule>
    <cfRule type="containsText" dxfId="550" priority="22" operator="containsText" text="VALIDADO">
      <formula>NOT(ISERROR(SEARCH("VALIDADO",N25)))</formula>
    </cfRule>
  </conditionalFormatting>
  <conditionalFormatting sqref="Q25:R25">
    <cfRule type="containsText" dxfId="549" priority="1" operator="containsText" text="PENDIENTE">
      <formula>NOT(ISERROR(SEARCH("PENDIENTE",Q25)))</formula>
    </cfRule>
    <cfRule type="containsText" dxfId="548" priority="2" operator="containsText" text="NO VALIDADO">
      <formula>NOT(ISERROR(SEARCH("NO VALIDADO",Q25)))</formula>
    </cfRule>
    <cfRule type="containsText" dxfId="547" priority="3" operator="containsText" text="VALIDADO">
      <formula>NOT(ISERROR(SEARCH("VALIDADO",Q25)))</formula>
    </cfRule>
  </conditionalFormatting>
  <conditionalFormatting sqref="T25:U25">
    <cfRule type="containsText" dxfId="546" priority="14" operator="containsText" text="PENDIENTE">
      <formula>NOT(ISERROR(SEARCH("PENDIENTE",T25)))</formula>
    </cfRule>
    <cfRule type="containsText" dxfId="545" priority="15" operator="containsText" text="NO VALIDADO">
      <formula>NOT(ISERROR(SEARCH("NO VALIDADO",T25)))</formula>
    </cfRule>
    <cfRule type="containsText" dxfId="544" priority="16" operator="containsText" text="VALIDADO">
      <formula>NOT(ISERROR(SEARCH("VALIDADO",T25)))</formula>
    </cfRule>
  </conditionalFormatting>
  <dataValidations count="6">
    <dataValidation type="list" allowBlank="1" showInputMessage="1" showErrorMessage="1" sqref="D10" xr:uid="{707082AB-A9D6-45A4-9111-C6CE18194D89}">
      <formula1>"No Cumple, Parcial,Cumple,Más que Cumple,Mejor Práctica"</formula1>
    </dataValidation>
    <dataValidation type="list" allowBlank="1" showInputMessage="1" showErrorMessage="1" sqref="S10 Q10" xr:uid="{43C75060-3760-4655-BD08-F8180CE8AB54}">
      <formula1>"Junio,Julio,Agosto,Septiembre,Octubre"</formula1>
    </dataValidation>
    <dataValidation type="list" allowBlank="1" showInputMessage="1" showErrorMessage="1" sqref="O10" xr:uid="{5B3B968A-232C-4ACC-90CA-8E189D895F5E}">
      <formula1>"Alta,Baja,No Planificado"</formula1>
    </dataValidation>
    <dataValidation type="list" allowBlank="1" showInputMessage="1" showErrorMessage="1" sqref="AB14:AB15 R14:R15 N14:N15 V14:V15" xr:uid="{7CC6BCF5-BF23-4B75-92FA-C98D5BE71A07}">
      <formula1>"No Cumple, Parcial, Cumple, Más que Cumple, Mejor Práctica"</formula1>
    </dataValidation>
    <dataValidation type="list" allowBlank="1" showInputMessage="1" showErrorMessage="1" sqref="M12 Q12 U12" xr:uid="{30AA498E-75F9-4B32-9D94-F5045063F447}">
      <formula1>"Mayo,Junio,Julio,Agosto,Septiembre,Octubre"</formula1>
    </dataValidation>
    <dataValidation type="list" allowBlank="1" showInputMessage="1" showErrorMessage="1" sqref="K14:K15 O14:O15 S14:S15" xr:uid="{54ADD504-2295-44D7-B5AD-1FACF7969843}">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60E20F79-D553-4232-92A2-791B0CC134AE}">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D0A3-3225-4F99-8032-5D3F48877364}">
  <sheetPr codeName="Planilha43"/>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O26" sqref="O2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0" t="s">
        <v>680</v>
      </c>
      <c r="L3" s="310"/>
      <c r="M3" s="310"/>
      <c r="N3" s="310"/>
      <c r="O3" s="310"/>
      <c r="P3" s="310"/>
      <c r="Q3" s="310"/>
      <c r="R3" s="310"/>
      <c r="S3" s="310"/>
      <c r="T3" s="63"/>
      <c r="U3" s="63"/>
      <c r="V3" s="63"/>
      <c r="W3" s="10"/>
      <c r="X3" s="10"/>
      <c r="Y3" s="12"/>
      <c r="Z3" s="12"/>
      <c r="AA3" s="12"/>
    </row>
    <row r="4" spans="1:28" ht="35.25" customHeight="1" x14ac:dyDescent="0.25">
      <c r="A4" s="1"/>
      <c r="B4" s="1"/>
      <c r="C4" s="10"/>
      <c r="D4" s="277"/>
      <c r="E4" s="277"/>
      <c r="F4" s="277"/>
      <c r="G4" s="277"/>
      <c r="H4" s="277"/>
      <c r="I4" s="277"/>
      <c r="J4" s="61"/>
      <c r="K4" s="311"/>
      <c r="L4" s="311"/>
      <c r="M4" s="311"/>
      <c r="N4" s="311"/>
      <c r="O4" s="311"/>
      <c r="P4" s="311"/>
      <c r="Q4" s="311"/>
      <c r="R4" s="311"/>
      <c r="S4" s="311"/>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1</v>
      </c>
      <c r="H7" s="48" t="str">
        <f>IF($Q$24&lt;&gt;"",IF($Q$24=3,3,IF($Q$24=2,2,1)),"")</f>
        <v/>
      </c>
      <c r="I7" s="48" t="str">
        <f>IF($T$24&lt;&gt;"",IF($T$24=3,3,IF($T$24=2,2,1)),"")</f>
        <v/>
      </c>
      <c r="J7" s="32"/>
      <c r="K7" s="49" t="s">
        <v>224</v>
      </c>
      <c r="L7" s="46" t="s">
        <v>225</v>
      </c>
      <c r="M7" s="267" t="s">
        <v>681</v>
      </c>
      <c r="N7" s="267"/>
      <c r="O7" s="267"/>
      <c r="P7" s="46" t="s">
        <v>227</v>
      </c>
      <c r="Q7" s="267" t="s">
        <v>682</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f>IF(Q10="Junho",6,IF(Q10="Julho",7,IF(Q10="Agosto",8,IF(Q10="Setembro",9,IF(Q10="Outubro",10,"")))))</f>
        <v>8</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1.7499999999999998E-2</v>
      </c>
      <c r="F10" s="52" t="str">
        <f>IF(K20="D","D","-")</f>
        <v>-</v>
      </c>
      <c r="G10" s="52" t="str">
        <f>IF(N20="D","D","-")</f>
        <v>-</v>
      </c>
      <c r="H10" s="52" t="str">
        <f>IF(Q20="D","D","-")</f>
        <v>-</v>
      </c>
      <c r="I10" s="52" t="str">
        <f>IF(T20="D","D","-")</f>
        <v>-</v>
      </c>
      <c r="J10" s="32"/>
      <c r="K10" s="66" t="s">
        <v>230</v>
      </c>
      <c r="L10" s="50" t="s">
        <v>231</v>
      </c>
      <c r="M10" s="75">
        <v>1</v>
      </c>
      <c r="N10" s="50" t="s">
        <v>232</v>
      </c>
      <c r="O10" s="53" t="s">
        <v>302</v>
      </c>
      <c r="P10" s="50" t="s">
        <v>233</v>
      </c>
      <c r="Q10" s="92" t="s">
        <v>234</v>
      </c>
      <c r="R10" s="50" t="s">
        <v>235</v>
      </c>
      <c r="S10" s="92" t="s">
        <v>303</v>
      </c>
      <c r="T10" s="50" t="s">
        <v>237</v>
      </c>
      <c r="U10" s="53" t="s">
        <v>531</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1.7499999999999998E-2</v>
      </c>
      <c r="F12" s="268">
        <f>IF($L$24&lt;&gt;"",IF($L$24=3,3,IF($L$24=2,2,1)),"")</f>
        <v>3</v>
      </c>
      <c r="G12" s="268">
        <f>IF($O$24&lt;&gt;"",IF($O$24=3,3,IF($O$24=2,2,1)),"")</f>
        <v>3</v>
      </c>
      <c r="H12" s="268" t="str">
        <f>IF($R$24&lt;&gt;"",IF($R$24=3,3,IF($R$24=2,2,1)),"")</f>
        <v/>
      </c>
      <c r="I12" s="268" t="str">
        <f>IF($U$24&lt;&gt;"",IF($U$24=3,3,IF($U$24=2,2,1)),"")</f>
        <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390</v>
      </c>
      <c r="O14" s="266" t="s">
        <v>247</v>
      </c>
      <c r="P14" s="286"/>
      <c r="Q14" s="286"/>
      <c r="R14" s="265" t="s">
        <v>305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2.5000000000000001E-2</v>
      </c>
      <c r="F18" s="116"/>
      <c r="G18" s="116"/>
      <c r="H18" s="116"/>
      <c r="I18" s="116"/>
      <c r="J18" s="9"/>
      <c r="K18" s="266" t="s">
        <v>683</v>
      </c>
      <c r="L18" s="264"/>
      <c r="M18" s="265"/>
      <c r="N18" s="266" t="s">
        <v>684</v>
      </c>
      <c r="O18" s="264"/>
      <c r="P18" s="265"/>
      <c r="Q18" s="266" t="s">
        <v>685</v>
      </c>
      <c r="R18" s="264"/>
      <c r="S18" s="265"/>
      <c r="T18" s="266" t="s">
        <v>686</v>
      </c>
      <c r="U18" s="264"/>
      <c r="V18" s="265"/>
      <c r="W18" s="9"/>
      <c r="X18" s="9"/>
      <c r="Y18" s="23"/>
    </row>
    <row r="19" spans="1:25" ht="141.75" customHeight="1" outlineLevel="2" x14ac:dyDescent="0.3">
      <c r="A19" s="1"/>
      <c r="B19" s="283"/>
      <c r="C19" s="283"/>
      <c r="D19" s="42" t="s">
        <v>257</v>
      </c>
      <c r="E19" s="307" t="s">
        <v>687</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136</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688</v>
      </c>
      <c r="L21" s="264"/>
      <c r="M21" s="265"/>
      <c r="N21" s="266" t="s">
        <v>689</v>
      </c>
      <c r="O21" s="264"/>
      <c r="P21" s="265"/>
      <c r="Q21" s="266" t="s">
        <v>473</v>
      </c>
      <c r="R21" s="264"/>
      <c r="S21" s="265"/>
      <c r="T21" s="266" t="s">
        <v>473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1</v>
      </c>
      <c r="O24" s="40">
        <v>3</v>
      </c>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690</v>
      </c>
      <c r="L26" s="45" t="s">
        <v>1204</v>
      </c>
      <c r="M26" s="289"/>
      <c r="N26" s="58" t="s">
        <v>691</v>
      </c>
      <c r="O26" s="45" t="s">
        <v>1205</v>
      </c>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543" priority="2" operator="containsText" text="Finalizado">
      <formula>NOT(ISERROR(SEARCH("Finalizado",D15)))</formula>
    </cfRule>
    <cfRule type="containsText" dxfId="542" priority="3" operator="containsText" text="No Planificado">
      <formula>NOT(ISERROR(SEARCH("No Planificado",D15)))</formula>
    </cfRule>
    <cfRule type="containsText" dxfId="541" priority="4" operator="containsText" text="A Tiempo">
      <formula>NOT(ISERROR(SEARCH("A Tiempo",D15)))</formula>
    </cfRule>
    <cfRule type="containsText" dxfId="540"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539" priority="20" operator="containsText" text="PENDIENTE">
      <formula>NOT(ISERROR(SEARCH("PENDIENTE",K25)))</formula>
    </cfRule>
    <cfRule type="containsText" dxfId="538" priority="21" operator="containsText" text="NO VALIDADO">
      <formula>NOT(ISERROR(SEARCH("NO VALIDADO",K25)))</formula>
    </cfRule>
    <cfRule type="containsText" dxfId="537" priority="22" operator="containsText" text="VALIDADO">
      <formula>NOT(ISERROR(SEARCH("VALIDADO",K25)))</formula>
    </cfRule>
  </conditionalFormatting>
  <conditionalFormatting sqref="N25:O25">
    <cfRule type="containsText" dxfId="536" priority="17" operator="containsText" text="PENDIENTE">
      <formula>NOT(ISERROR(SEARCH("PENDIENTE",N25)))</formula>
    </cfRule>
    <cfRule type="containsText" dxfId="535" priority="18" operator="containsText" text="NO VALIDADO">
      <formula>NOT(ISERROR(SEARCH("NO VALIDADO",N25)))</formula>
    </cfRule>
    <cfRule type="containsText" dxfId="534" priority="19" operator="containsText" text="VALIDADO">
      <formula>NOT(ISERROR(SEARCH("VALIDADO",N25)))</formula>
    </cfRule>
  </conditionalFormatting>
  <conditionalFormatting sqref="Q25:R25">
    <cfRule type="containsText" dxfId="533" priority="14" operator="containsText" text="PENDIENTE">
      <formula>NOT(ISERROR(SEARCH("PENDIENTE",Q25)))</formula>
    </cfRule>
    <cfRule type="containsText" dxfId="532" priority="15" operator="containsText" text="NO VALIDADO">
      <formula>NOT(ISERROR(SEARCH("NO VALIDADO",Q25)))</formula>
    </cfRule>
    <cfRule type="containsText" dxfId="531" priority="16" operator="containsText" text="VALIDADO">
      <formula>NOT(ISERROR(SEARCH("VALIDADO",Q25)))</formula>
    </cfRule>
  </conditionalFormatting>
  <conditionalFormatting sqref="T25:U25">
    <cfRule type="containsText" dxfId="530" priority="11" operator="containsText" text="PENDIENTE">
      <formula>NOT(ISERROR(SEARCH("PENDIENTE",T25)))</formula>
    </cfRule>
    <cfRule type="containsText" dxfId="529" priority="12" operator="containsText" text="NO VALIDADO">
      <formula>NOT(ISERROR(SEARCH("NO VALIDADO",T25)))</formula>
    </cfRule>
    <cfRule type="containsText" dxfId="528" priority="13" operator="containsText" text="VALIDADO">
      <formula>NOT(ISERROR(SEARCH("VALIDADO",T25)))</formula>
    </cfRule>
  </conditionalFormatting>
  <dataValidations count="6">
    <dataValidation type="list" allowBlank="1" showInputMessage="1" showErrorMessage="1" sqref="K14:K15 O14:O15 S14:S15" xr:uid="{D89D24A1-2851-4733-A8F5-23144EAC1EAE}">
      <formula1>"No Iniciado, En Progreso,Finalizado"</formula1>
    </dataValidation>
    <dataValidation type="list" allowBlank="1" showInputMessage="1" showErrorMessage="1" sqref="M12 Q12 U12" xr:uid="{0CB9484B-F1BA-4A90-877F-1DA3EC4EF016}">
      <formula1>"Mayo,Junio,Julio,Agosto,Septiembre,Octubre"</formula1>
    </dataValidation>
    <dataValidation type="list" allowBlank="1" showInputMessage="1" showErrorMessage="1" sqref="AB14:AB15 R14:R15 N14:N15 V14:V15" xr:uid="{3D5B44F7-45B9-4D30-9A71-BB785CB37907}">
      <formula1>"No Cumple, Parcial, Cumple, Más que Cumple, Mejor Práctica"</formula1>
    </dataValidation>
    <dataValidation type="list" allowBlank="1" showInputMessage="1" showErrorMessage="1" sqref="O10" xr:uid="{47F675D3-155B-46E1-A859-216039B136A4}">
      <formula1>"Alta,Baja,No Planificado"</formula1>
    </dataValidation>
    <dataValidation type="list" allowBlank="1" showInputMessage="1" showErrorMessage="1" sqref="S10 Q10" xr:uid="{2AA129E7-8873-4648-9E98-570EB553E030}">
      <formula1>"Junio,Julio,Agosto,Septiembre,Octubre"</formula1>
    </dataValidation>
    <dataValidation type="list" allowBlank="1" showInputMessage="1" showErrorMessage="1" sqref="D10" xr:uid="{5C6ED5B9-EAE9-482C-83D4-96A0586ADA39}">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3AE89998-5FF1-40EB-BB3B-D8CF126C5843}">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B1085-CD85-4223-850A-29B17A0047D6}">
  <sheetPr codeName="Planilha44"/>
  <dimension ref="A1:AB51"/>
  <sheetViews>
    <sheetView showGridLines="0" zoomScale="50" zoomScaleNormal="50" workbookViewId="0">
      <pane xSplit="3" ySplit="4" topLeftCell="D9"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692</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1</v>
      </c>
      <c r="H7" s="48" t="str">
        <f>IF($Q$24&lt;&gt;"",IF($Q$24=3,3,IF($Q$24=2,2,1)),"")</f>
        <v/>
      </c>
      <c r="I7" s="48" t="str">
        <f>IF($T$24&lt;&gt;"",IF($T$24=3,3,IF($T$24=2,2,1)),"")</f>
        <v/>
      </c>
      <c r="J7" s="32"/>
      <c r="K7" s="49" t="s">
        <v>224</v>
      </c>
      <c r="L7" s="46" t="s">
        <v>225</v>
      </c>
      <c r="M7" s="267" t="s">
        <v>693</v>
      </c>
      <c r="N7" s="267"/>
      <c r="O7" s="267"/>
      <c r="P7" s="46" t="s">
        <v>227</v>
      </c>
      <c r="Q7" s="267" t="s">
        <v>694</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1.2749999999999999E-2</v>
      </c>
      <c r="F10" s="52" t="str">
        <f>IF(K20="D","D","-")</f>
        <v>-</v>
      </c>
      <c r="G10" s="52" t="str">
        <f>IF(N20="D","D","-")</f>
        <v>D</v>
      </c>
      <c r="H10" s="52" t="str">
        <f>IF(Q20="D","D","-")</f>
        <v>D</v>
      </c>
      <c r="I10" s="52" t="str">
        <f>IF(T20="D","D","-")</f>
        <v>-</v>
      </c>
      <c r="J10" s="32"/>
      <c r="K10" s="66" t="s">
        <v>230</v>
      </c>
      <c r="L10" s="50" t="s">
        <v>231</v>
      </c>
      <c r="M10" s="75">
        <v>2</v>
      </c>
      <c r="N10" s="50" t="s">
        <v>232</v>
      </c>
      <c r="O10" s="53" t="s">
        <v>302</v>
      </c>
      <c r="P10" s="50" t="s">
        <v>233</v>
      </c>
      <c r="Q10" s="92" t="s">
        <v>286</v>
      </c>
      <c r="R10" s="50" t="s">
        <v>235</v>
      </c>
      <c r="S10" s="92" t="s">
        <v>303</v>
      </c>
      <c r="T10" s="50" t="s">
        <v>237</v>
      </c>
      <c r="U10" s="53" t="s">
        <v>695</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1.4999999999999999E-2</v>
      </c>
      <c r="F12" s="268">
        <f>IF($L$24&lt;&gt;"",IF($L$24=3,3,IF($L$24=2,2,1)),"")</f>
        <v>3</v>
      </c>
      <c r="G12" s="268">
        <f>IF($O$24&lt;&gt;"",IF($O$24=3,3,IF($O$24=2,2,1)),"")</f>
        <v>3</v>
      </c>
      <c r="H12" s="268">
        <f>IF($R$24&lt;&gt;"",IF($R$24=3,3,IF($R$24=2,2,1)),"")</f>
        <v>3</v>
      </c>
      <c r="I12" s="268">
        <f>IF($U$24&lt;&gt;"",IF($U$24=3,3,IF($U$24=2,2,1)),"")</f>
        <v>3</v>
      </c>
      <c r="J12" s="32"/>
      <c r="K12" s="300" t="s">
        <v>240</v>
      </c>
      <c r="L12" s="274"/>
      <c r="M12" s="280" t="s">
        <v>321</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275</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c r="I16" s="9" t="s">
        <v>250</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696</v>
      </c>
      <c r="L18" s="264"/>
      <c r="M18" s="265"/>
      <c r="N18" s="266" t="s">
        <v>697</v>
      </c>
      <c r="O18" s="264"/>
      <c r="P18" s="265"/>
      <c r="Q18" s="266" t="s">
        <v>698</v>
      </c>
      <c r="R18" s="264"/>
      <c r="S18" s="265"/>
      <c r="T18" s="266" t="s">
        <v>699</v>
      </c>
      <c r="U18" s="264"/>
      <c r="V18" s="265"/>
      <c r="W18" s="9"/>
      <c r="X18" s="9"/>
      <c r="Y18" s="23"/>
    </row>
    <row r="19" spans="1:25" ht="141.75" customHeight="1" outlineLevel="2" x14ac:dyDescent="0.3">
      <c r="A19" s="1"/>
      <c r="B19" s="283"/>
      <c r="C19" s="283"/>
      <c r="D19" s="42" t="s">
        <v>257</v>
      </c>
      <c r="E19" s="307" t="s">
        <v>700</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136</v>
      </c>
      <c r="F20" s="288"/>
      <c r="G20" s="288"/>
      <c r="H20" s="288"/>
      <c r="I20" s="288"/>
      <c r="J20" s="25"/>
      <c r="K20" s="266"/>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575</v>
      </c>
      <c r="L21" s="264"/>
      <c r="M21" s="265"/>
      <c r="N21" s="266" t="s">
        <v>701</v>
      </c>
      <c r="O21" s="264"/>
      <c r="P21" s="265"/>
      <c r="Q21" s="266" t="s">
        <v>625</v>
      </c>
      <c r="R21" s="264"/>
      <c r="S21" s="265"/>
      <c r="T21" s="266" t="s">
        <v>702</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1</v>
      </c>
      <c r="O24" s="40">
        <v>3</v>
      </c>
      <c r="P24" s="289"/>
      <c r="Q24" s="56"/>
      <c r="R24" s="40">
        <v>3</v>
      </c>
      <c r="S24" s="289"/>
      <c r="T24" s="56"/>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45.25" customHeight="1" x14ac:dyDescent="0.3">
      <c r="A26" s="1"/>
      <c r="B26" s="9"/>
      <c r="C26" s="9"/>
      <c r="D26" s="9"/>
      <c r="F26" s="291"/>
      <c r="G26" s="292" t="s">
        <v>242</v>
      </c>
      <c r="H26" s="292"/>
      <c r="I26" s="292"/>
      <c r="K26" s="58" t="s">
        <v>703</v>
      </c>
      <c r="L26" s="45" t="s">
        <v>704</v>
      </c>
      <c r="M26" s="289"/>
      <c r="N26" s="58" t="s">
        <v>705</v>
      </c>
      <c r="O26" s="45" t="s">
        <v>1154</v>
      </c>
      <c r="P26" s="289"/>
      <c r="Q26" s="58" t="s">
        <v>706</v>
      </c>
      <c r="R26" s="45" t="s">
        <v>1134</v>
      </c>
      <c r="S26" s="289"/>
      <c r="T26" s="58"/>
      <c r="U26" s="45" t="s">
        <v>707</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527" priority="2" operator="containsText" text="Finalizado">
      <formula>NOT(ISERROR(SEARCH("Finalizado",D15)))</formula>
    </cfRule>
    <cfRule type="containsText" dxfId="526" priority="3" operator="containsText" text="No Planificado">
      <formula>NOT(ISERROR(SEARCH("No Planificado",D15)))</formula>
    </cfRule>
    <cfRule type="containsText" dxfId="525" priority="4" operator="containsText" text="A Tiempo">
      <formula>NOT(ISERROR(SEARCH("A Tiempo",D15)))</formula>
    </cfRule>
    <cfRule type="containsText" dxfId="524"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523" priority="20" operator="containsText" text="PENDIENTE">
      <formula>NOT(ISERROR(SEARCH("PENDIENTE",K25)))</formula>
    </cfRule>
    <cfRule type="containsText" dxfId="522" priority="21" operator="containsText" text="NO VALIDADO">
      <formula>NOT(ISERROR(SEARCH("NO VALIDADO",K25)))</formula>
    </cfRule>
    <cfRule type="containsText" dxfId="521" priority="22" operator="containsText" text="VALIDADO">
      <formula>NOT(ISERROR(SEARCH("VALIDADO",K25)))</formula>
    </cfRule>
  </conditionalFormatting>
  <conditionalFormatting sqref="N25:O25">
    <cfRule type="containsText" dxfId="520" priority="17" operator="containsText" text="PENDIENTE">
      <formula>NOT(ISERROR(SEARCH("PENDIENTE",N25)))</formula>
    </cfRule>
    <cfRule type="containsText" dxfId="519" priority="18" operator="containsText" text="NO VALIDADO">
      <formula>NOT(ISERROR(SEARCH("NO VALIDADO",N25)))</formula>
    </cfRule>
    <cfRule type="containsText" dxfId="518" priority="19" operator="containsText" text="VALIDADO">
      <formula>NOT(ISERROR(SEARCH("VALIDADO",N25)))</formula>
    </cfRule>
  </conditionalFormatting>
  <conditionalFormatting sqref="Q25:R25">
    <cfRule type="containsText" dxfId="517" priority="14" operator="containsText" text="PENDIENTE">
      <formula>NOT(ISERROR(SEARCH("PENDIENTE",Q25)))</formula>
    </cfRule>
    <cfRule type="containsText" dxfId="516" priority="15" operator="containsText" text="NO VALIDADO">
      <formula>NOT(ISERROR(SEARCH("NO VALIDADO",Q25)))</formula>
    </cfRule>
    <cfRule type="containsText" dxfId="515" priority="16" operator="containsText" text="VALIDADO">
      <formula>NOT(ISERROR(SEARCH("VALIDADO",Q25)))</formula>
    </cfRule>
  </conditionalFormatting>
  <conditionalFormatting sqref="T25:U25">
    <cfRule type="containsText" dxfId="514" priority="11" operator="containsText" text="PENDIENTE">
      <formula>NOT(ISERROR(SEARCH("PENDIENTE",T25)))</formula>
    </cfRule>
    <cfRule type="containsText" dxfId="513" priority="12" operator="containsText" text="NO VALIDADO">
      <formula>NOT(ISERROR(SEARCH("NO VALIDADO",T25)))</formula>
    </cfRule>
    <cfRule type="containsText" dxfId="512" priority="13" operator="containsText" text="VALIDADO">
      <formula>NOT(ISERROR(SEARCH("VALIDADO",T25)))</formula>
    </cfRule>
  </conditionalFormatting>
  <dataValidations count="6">
    <dataValidation type="list" allowBlank="1" showInputMessage="1" showErrorMessage="1" sqref="D10" xr:uid="{6A5B4447-0C9B-4402-89B5-18BE9D1616C7}">
      <formula1>"No Cumple, Parcial,Cumple,Más que Cumple,Mejor Práctica"</formula1>
    </dataValidation>
    <dataValidation type="list" allowBlank="1" showInputMessage="1" showErrorMessage="1" sqref="S10 Q10" xr:uid="{F103CB6D-813C-4F09-BC56-FEED3708AB3F}">
      <formula1>"Junio,Julio,Agosto,Septiembre,Octubre"</formula1>
    </dataValidation>
    <dataValidation type="list" allowBlank="1" showInputMessage="1" showErrorMessage="1" sqref="O10" xr:uid="{37C9BD7F-0E4C-40EA-95FD-0F350457AA18}">
      <formula1>"Alta,Baja,No Planificado"</formula1>
    </dataValidation>
    <dataValidation type="list" allowBlank="1" showInputMessage="1" showErrorMessage="1" sqref="AB14:AB15 R14:R15 N14:N15 V14:V15" xr:uid="{4BC49D52-CCD2-4831-A6EB-38430D1291FD}">
      <formula1>"No Cumple, Parcial, Cumple, Más que Cumple, Mejor Práctica"</formula1>
    </dataValidation>
    <dataValidation type="list" allowBlank="1" showInputMessage="1" showErrorMessage="1" sqref="M12 Q12 U12" xr:uid="{F3E14B31-58B8-48DE-BB56-045F3CC799F3}">
      <formula1>"Mayo,Junio,Julio,Agosto,Septiembre,Octubre"</formula1>
    </dataValidation>
    <dataValidation type="list" allowBlank="1" showInputMessage="1" showErrorMessage="1" sqref="K14:K15 O14:O15 S14:S15" xr:uid="{A2031FED-6370-4243-8C6C-D866A6E45845}">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5F057EB-3B75-413A-BDE5-45EDDEB5252C}">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4CB6-8D34-4A8A-8B0C-20BC24F96025}">
  <sheetPr codeName="Planilha45"/>
  <dimension ref="A1:AB51"/>
  <sheetViews>
    <sheetView showGridLines="0" zoomScale="50" zoomScaleNormal="50" workbookViewId="0">
      <pane xSplit="3" ySplit="4" topLeftCell="D15"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2" t="s">
        <v>708</v>
      </c>
      <c r="L3" s="312"/>
      <c r="M3" s="312"/>
      <c r="N3" s="312"/>
      <c r="O3" s="312"/>
      <c r="P3" s="312"/>
      <c r="Q3" s="312"/>
      <c r="R3" s="312"/>
      <c r="S3" s="312"/>
      <c r="T3" s="63"/>
      <c r="U3" s="63"/>
      <c r="V3" s="63"/>
      <c r="W3" s="10"/>
      <c r="X3" s="10"/>
      <c r="Y3" s="12"/>
      <c r="Z3" s="12"/>
      <c r="AA3" s="12"/>
    </row>
    <row r="4" spans="1:28" ht="35.25" customHeight="1" x14ac:dyDescent="0.25">
      <c r="A4" s="1"/>
      <c r="B4" s="1"/>
      <c r="C4" s="10"/>
      <c r="D4" s="277"/>
      <c r="E4" s="277"/>
      <c r="F4" s="277"/>
      <c r="G4" s="277"/>
      <c r="H4" s="277"/>
      <c r="I4" s="277"/>
      <c r="J4" s="61"/>
      <c r="K4" s="313"/>
      <c r="L4" s="313"/>
      <c r="M4" s="313"/>
      <c r="N4" s="313"/>
      <c r="O4" s="313"/>
      <c r="P4" s="313"/>
      <c r="Q4" s="313"/>
      <c r="R4" s="313"/>
      <c r="S4" s="313"/>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1</v>
      </c>
      <c r="H7" s="48" t="str">
        <f>IF($Q$24&lt;&gt;"",IF($Q$24=3,3,IF($Q$24=2,2,1)),"")</f>
        <v/>
      </c>
      <c r="I7" s="48" t="str">
        <f>IF($T$24&lt;&gt;"",IF($T$24=3,3,IF($T$24=2,2,1)),"")</f>
        <v/>
      </c>
      <c r="J7" s="32"/>
      <c r="K7" s="49" t="s">
        <v>224</v>
      </c>
      <c r="L7" s="46" t="s">
        <v>225</v>
      </c>
      <c r="M7" s="267" t="s">
        <v>709</v>
      </c>
      <c r="N7" s="267"/>
      <c r="O7" s="267"/>
      <c r="P7" s="46" t="s">
        <v>227</v>
      </c>
      <c r="Q7" s="267" t="s">
        <v>710</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1.0499999999999999E-2</v>
      </c>
      <c r="F10" s="52" t="str">
        <f>IF(K20="D","D","-")</f>
        <v>D</v>
      </c>
      <c r="G10" s="52" t="str">
        <f>IF(N20="D","D","-")</f>
        <v>-</v>
      </c>
      <c r="H10" s="52" t="str">
        <f>IF(Q20="D","D","-")</f>
        <v>-</v>
      </c>
      <c r="I10" s="52" t="str">
        <f>IF(T20="D","D","-")</f>
        <v>-</v>
      </c>
      <c r="J10" s="32"/>
      <c r="K10" s="66" t="s">
        <v>230</v>
      </c>
      <c r="L10" s="50" t="s">
        <v>231</v>
      </c>
      <c r="M10" s="75">
        <v>2</v>
      </c>
      <c r="N10" s="50" t="s">
        <v>232</v>
      </c>
      <c r="O10" s="53" t="s">
        <v>302</v>
      </c>
      <c r="P10" s="50" t="s">
        <v>233</v>
      </c>
      <c r="Q10" s="92" t="s">
        <v>286</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1.0499999999999999E-2</v>
      </c>
      <c r="F12" s="268">
        <f>IF($L$24&lt;&gt;"",IF($L$24=3,3,IF($L$24=2,2,1)),"")</f>
        <v>3</v>
      </c>
      <c r="G12" s="268">
        <f>IF($O$24&lt;&gt;"",IF($O$24=3,3,IF($O$24=2,2,1)),"")</f>
        <v>3</v>
      </c>
      <c r="H12" s="268" t="str">
        <f>IF($R$24&lt;&gt;"",IF($R$24=3,3,IF($R$24=2,2,1)),"")</f>
        <v/>
      </c>
      <c r="I12" s="268" t="str">
        <f>IF($U$24&lt;&gt;"",IF($U$24=3,3,IF($U$24=2,2,1)),"")</f>
        <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390</v>
      </c>
      <c r="O14" s="266" t="s">
        <v>247</v>
      </c>
      <c r="P14" s="286"/>
      <c r="Q14" s="286"/>
      <c r="R14" s="265" t="s">
        <v>305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711</v>
      </c>
      <c r="L18" s="264"/>
      <c r="M18" s="265"/>
      <c r="N18" s="266" t="s">
        <v>712</v>
      </c>
      <c r="O18" s="264"/>
      <c r="P18" s="265"/>
      <c r="Q18" s="266" t="s">
        <v>713</v>
      </c>
      <c r="R18" s="264"/>
      <c r="S18" s="265"/>
      <c r="T18" s="266" t="s">
        <v>714</v>
      </c>
      <c r="U18" s="264"/>
      <c r="V18" s="265"/>
      <c r="W18" s="9"/>
      <c r="X18" s="9"/>
      <c r="Y18" s="23"/>
    </row>
    <row r="19" spans="1:25" ht="141.75" customHeight="1" outlineLevel="2" x14ac:dyDescent="0.3">
      <c r="A19" s="1"/>
      <c r="B19" s="283"/>
      <c r="C19" s="283"/>
      <c r="D19" s="42" t="s">
        <v>257</v>
      </c>
      <c r="E19" s="307" t="s">
        <v>715</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102</v>
      </c>
      <c r="F20" s="288"/>
      <c r="G20" s="288"/>
      <c r="H20" s="288"/>
      <c r="I20" s="288"/>
      <c r="J20" s="25"/>
      <c r="K20" s="266" t="s">
        <v>260</v>
      </c>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716</v>
      </c>
      <c r="L21" s="264"/>
      <c r="M21" s="265"/>
      <c r="N21" s="266" t="s">
        <v>717</v>
      </c>
      <c r="O21" s="264"/>
      <c r="P21" s="265"/>
      <c r="Q21" s="266" t="s">
        <v>718</v>
      </c>
      <c r="R21" s="264"/>
      <c r="S21" s="265"/>
      <c r="T21" s="266" t="s">
        <v>719</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1</v>
      </c>
      <c r="O24" s="40">
        <v>3</v>
      </c>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720</v>
      </c>
      <c r="L26" s="45" t="s">
        <v>1155</v>
      </c>
      <c r="M26" s="289"/>
      <c r="N26" s="58"/>
      <c r="O26" s="45" t="s">
        <v>1156</v>
      </c>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511" priority="2" operator="containsText" text="Finalizado">
      <formula>NOT(ISERROR(SEARCH("Finalizado",D15)))</formula>
    </cfRule>
    <cfRule type="containsText" dxfId="510" priority="3" operator="containsText" text="No Planificado">
      <formula>NOT(ISERROR(SEARCH("No Planificado",D15)))</formula>
    </cfRule>
    <cfRule type="containsText" dxfId="509" priority="4" operator="containsText" text="A Tiempo">
      <formula>NOT(ISERROR(SEARCH("A Tiempo",D15)))</formula>
    </cfRule>
    <cfRule type="containsText" dxfId="508"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507" priority="20" operator="containsText" text="PENDIENTE">
      <formula>NOT(ISERROR(SEARCH("PENDIENTE",K25)))</formula>
    </cfRule>
    <cfRule type="containsText" dxfId="506" priority="21" operator="containsText" text="NO VALIDADO">
      <formula>NOT(ISERROR(SEARCH("NO VALIDADO",K25)))</formula>
    </cfRule>
    <cfRule type="containsText" dxfId="505" priority="22" operator="containsText" text="VALIDADO">
      <formula>NOT(ISERROR(SEARCH("VALIDADO",K25)))</formula>
    </cfRule>
  </conditionalFormatting>
  <conditionalFormatting sqref="N25:O25">
    <cfRule type="containsText" dxfId="504" priority="17" operator="containsText" text="PENDIENTE">
      <formula>NOT(ISERROR(SEARCH("PENDIENTE",N25)))</formula>
    </cfRule>
    <cfRule type="containsText" dxfId="503" priority="18" operator="containsText" text="NO VALIDADO">
      <formula>NOT(ISERROR(SEARCH("NO VALIDADO",N25)))</formula>
    </cfRule>
    <cfRule type="containsText" dxfId="502" priority="19" operator="containsText" text="VALIDADO">
      <formula>NOT(ISERROR(SEARCH("VALIDADO",N25)))</formula>
    </cfRule>
  </conditionalFormatting>
  <conditionalFormatting sqref="Q25:R25">
    <cfRule type="containsText" dxfId="501" priority="14" operator="containsText" text="PENDIENTE">
      <formula>NOT(ISERROR(SEARCH("PENDIENTE",Q25)))</formula>
    </cfRule>
    <cfRule type="containsText" dxfId="500" priority="15" operator="containsText" text="NO VALIDADO">
      <formula>NOT(ISERROR(SEARCH("NO VALIDADO",Q25)))</formula>
    </cfRule>
    <cfRule type="containsText" dxfId="499" priority="16" operator="containsText" text="VALIDADO">
      <formula>NOT(ISERROR(SEARCH("VALIDADO",Q25)))</formula>
    </cfRule>
  </conditionalFormatting>
  <conditionalFormatting sqref="T25:U25">
    <cfRule type="containsText" dxfId="498" priority="11" operator="containsText" text="PENDIENTE">
      <formula>NOT(ISERROR(SEARCH("PENDIENTE",T25)))</formula>
    </cfRule>
    <cfRule type="containsText" dxfId="497" priority="12" operator="containsText" text="NO VALIDADO">
      <formula>NOT(ISERROR(SEARCH("NO VALIDADO",T25)))</formula>
    </cfRule>
    <cfRule type="containsText" dxfId="496" priority="13" operator="containsText" text="VALIDADO">
      <formula>NOT(ISERROR(SEARCH("VALIDADO",T25)))</formula>
    </cfRule>
  </conditionalFormatting>
  <dataValidations count="6">
    <dataValidation type="list" allowBlank="1" showInputMessage="1" showErrorMessage="1" sqref="K14:K15 O14:O15 S14:S15" xr:uid="{ACA5EF47-9614-44A3-A008-E78A98EBE249}">
      <formula1>"No Iniciado, En Progreso,Finalizado"</formula1>
    </dataValidation>
    <dataValidation type="list" allowBlank="1" showInputMessage="1" showErrorMessage="1" sqref="M12 Q12 U12" xr:uid="{A375ADDF-B644-4657-801A-01077B2187E3}">
      <formula1>"Mayo,Junio,Julio,Agosto,Septiembre,Octubre"</formula1>
    </dataValidation>
    <dataValidation type="list" allowBlank="1" showInputMessage="1" showErrorMessage="1" sqref="AB14:AB15 R14:R15 N14:N15 V14:V15" xr:uid="{95B6E593-3543-4161-948A-23B7667F3B03}">
      <formula1>"No Cumple, Parcial, Cumple, Más que Cumple, Mejor Práctica"</formula1>
    </dataValidation>
    <dataValidation type="list" allowBlank="1" showInputMessage="1" showErrorMessage="1" sqref="O10" xr:uid="{DE8FDCA2-4200-40D7-B627-0F251ECECFA5}">
      <formula1>"Alta,Baja,No Planificado"</formula1>
    </dataValidation>
    <dataValidation type="list" allowBlank="1" showInputMessage="1" showErrorMessage="1" sqref="S10 Q10" xr:uid="{78E1FA80-ED9D-4F16-A597-4BC7ACAB1568}">
      <formula1>"Junio,Julio,Agosto,Septiembre,Octubre"</formula1>
    </dataValidation>
    <dataValidation type="list" allowBlank="1" showInputMessage="1" showErrorMessage="1" sqref="D10" xr:uid="{AACA3877-BD9C-4DEB-B2FC-4A92E6C0D513}">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A4502E1A-8660-4533-93DD-DD6E7BD6A04F}">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D2E9B-6888-41A2-8495-A12C0A3EC71C}">
  <sheetPr codeName="Planilha46"/>
  <dimension ref="A1:AB51"/>
  <sheetViews>
    <sheetView showGridLines="0" zoomScale="50" zoomScaleNormal="50" workbookViewId="0">
      <pane xSplit="3" ySplit="4" topLeftCell="E11"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01" t="s">
        <v>721</v>
      </c>
      <c r="L3" s="301"/>
      <c r="M3" s="301"/>
      <c r="N3" s="301"/>
      <c r="O3" s="301"/>
      <c r="P3" s="301"/>
      <c r="Q3" s="301"/>
      <c r="R3" s="301"/>
      <c r="S3" s="301"/>
      <c r="T3" s="63"/>
      <c r="U3" s="63"/>
      <c r="V3" s="63"/>
      <c r="W3" s="10"/>
      <c r="X3" s="10"/>
      <c r="Y3" s="12"/>
      <c r="Z3" s="12"/>
      <c r="AA3" s="12"/>
    </row>
    <row r="4" spans="1:28" ht="35.25" customHeight="1" x14ac:dyDescent="0.25">
      <c r="A4" s="1"/>
      <c r="B4" s="1"/>
      <c r="C4" s="10"/>
      <c r="D4" s="277"/>
      <c r="E4" s="277"/>
      <c r="F4" s="277"/>
      <c r="G4" s="277"/>
      <c r="H4" s="277"/>
      <c r="I4" s="277"/>
      <c r="J4" s="61"/>
      <c r="K4" s="302"/>
      <c r="L4" s="302"/>
      <c r="M4" s="302"/>
      <c r="N4" s="302"/>
      <c r="O4" s="302"/>
      <c r="P4" s="302"/>
      <c r="Q4" s="302"/>
      <c r="R4" s="302"/>
      <c r="S4" s="302"/>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t="str">
        <f>IF($N$24&lt;&gt;"",IF($N$24=3,3,IF($N$24=2,2,1)),"")</f>
        <v/>
      </c>
      <c r="H7" s="48" t="str">
        <f>IF($Q$24&lt;&gt;"",IF($Q$24=3,3,IF($Q$24=2,2,1)),"")</f>
        <v/>
      </c>
      <c r="I7" s="48" t="str">
        <f>IF($T$24&lt;&gt;"",IF($T$24=3,3,IF($T$24=2,2,1)),"")</f>
        <v/>
      </c>
      <c r="J7" s="32"/>
      <c r="K7" s="49" t="s">
        <v>224</v>
      </c>
      <c r="L7" s="46" t="s">
        <v>225</v>
      </c>
      <c r="M7" s="267" t="s">
        <v>722</v>
      </c>
      <c r="N7" s="267"/>
      <c r="O7" s="267"/>
      <c r="P7" s="46" t="s">
        <v>227</v>
      </c>
      <c r="Q7" s="267" t="s">
        <v>723</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f>IF(Q10="Junho",6,IF(Q10="Julho",7,IF(Q10="Agosto",8,IF(Q10="Setembro",9,IF(Q10="Outubro",10,"")))))</f>
        <v>8</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3.4999999999999996E-3</v>
      </c>
      <c r="F10" s="52" t="str">
        <f>IF(K20="D","D","-")</f>
        <v>-</v>
      </c>
      <c r="G10" s="52" t="str">
        <f>IF(N20="D","D","-")</f>
        <v>-</v>
      </c>
      <c r="H10" s="52" t="str">
        <f>IF(Q20="D","D","-")</f>
        <v>-</v>
      </c>
      <c r="I10" s="52" t="str">
        <f>IF(T20="D","D","-")</f>
        <v>-</v>
      </c>
      <c r="J10" s="32"/>
      <c r="K10" s="66" t="s">
        <v>230</v>
      </c>
      <c r="L10" s="50" t="s">
        <v>231</v>
      </c>
      <c r="M10" s="75">
        <v>2</v>
      </c>
      <c r="N10" s="50" t="s">
        <v>232</v>
      </c>
      <c r="O10" s="53" t="s">
        <v>302</v>
      </c>
      <c r="P10" s="50" t="s">
        <v>233</v>
      </c>
      <c r="Q10" s="92" t="s">
        <v>234</v>
      </c>
      <c r="R10" s="50" t="s">
        <v>235</v>
      </c>
      <c r="S10" s="92" t="s">
        <v>303</v>
      </c>
      <c r="T10" s="50" t="s">
        <v>237</v>
      </c>
      <c r="U10" s="53" t="s">
        <v>531</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5.0000000000000001E-3</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246</v>
      </c>
      <c r="O14" s="266" t="s">
        <v>247</v>
      </c>
      <c r="P14" s="286" t="s">
        <v>323</v>
      </c>
      <c r="Q14" s="286"/>
      <c r="R14" s="265" t="s">
        <v>422</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5.0000000000000001E-3</v>
      </c>
      <c r="F18" s="116"/>
      <c r="G18" s="116"/>
      <c r="H18" s="116"/>
      <c r="I18" s="116"/>
      <c r="J18" s="9"/>
      <c r="K18" s="266" t="s">
        <v>724</v>
      </c>
      <c r="L18" s="264"/>
      <c r="M18" s="265"/>
      <c r="N18" s="266" t="s">
        <v>725</v>
      </c>
      <c r="O18" s="264"/>
      <c r="P18" s="265"/>
      <c r="Q18" s="266" t="s">
        <v>726</v>
      </c>
      <c r="R18" s="264"/>
      <c r="S18" s="265"/>
      <c r="T18" s="266" t="s">
        <v>727</v>
      </c>
      <c r="U18" s="264"/>
      <c r="V18" s="265"/>
      <c r="W18" s="9"/>
      <c r="X18" s="9"/>
      <c r="Y18" s="23"/>
    </row>
    <row r="19" spans="1:25" ht="141.75" customHeight="1" outlineLevel="2" x14ac:dyDescent="0.3">
      <c r="A19" s="1"/>
      <c r="B19" s="283"/>
      <c r="C19" s="283"/>
      <c r="D19" s="42" t="s">
        <v>257</v>
      </c>
      <c r="E19" s="307" t="s">
        <v>728</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39</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441</v>
      </c>
      <c r="L21" s="264"/>
      <c r="M21" s="265"/>
      <c r="N21" s="266" t="s">
        <v>441</v>
      </c>
      <c r="O21" s="264"/>
      <c r="P21" s="265"/>
      <c r="Q21" s="266" t="s">
        <v>441</v>
      </c>
      <c r="R21" s="264"/>
      <c r="S21" s="265"/>
      <c r="T21" s="266" t="s">
        <v>441</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c r="O24" s="40">
        <v>3</v>
      </c>
      <c r="P24" s="289"/>
      <c r="Q24" s="56"/>
      <c r="R24" s="40">
        <v>3</v>
      </c>
      <c r="S24" s="289"/>
      <c r="T24" s="56"/>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722</v>
      </c>
      <c r="L26" s="45" t="s">
        <v>729</v>
      </c>
      <c r="M26" s="289"/>
      <c r="N26" s="58"/>
      <c r="O26" s="45" t="s">
        <v>730</v>
      </c>
      <c r="P26" s="289"/>
      <c r="Q26" s="58"/>
      <c r="R26" s="45" t="s">
        <v>731</v>
      </c>
      <c r="S26" s="289"/>
      <c r="T26" s="58"/>
      <c r="U26" s="45" t="s">
        <v>1192</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495" priority="2" operator="containsText" text="Finalizado">
      <formula>NOT(ISERROR(SEARCH("Finalizado",D15)))</formula>
    </cfRule>
    <cfRule type="containsText" dxfId="494" priority="3" operator="containsText" text="No Planificado">
      <formula>NOT(ISERROR(SEARCH("No Planificado",D15)))</formula>
    </cfRule>
    <cfRule type="containsText" dxfId="493" priority="4" operator="containsText" text="A Tiempo">
      <formula>NOT(ISERROR(SEARCH("A Tiempo",D15)))</formula>
    </cfRule>
    <cfRule type="containsText" dxfId="492"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491" priority="20" operator="containsText" text="PENDIENTE">
      <formula>NOT(ISERROR(SEARCH("PENDIENTE",K25)))</formula>
    </cfRule>
    <cfRule type="containsText" dxfId="490" priority="21" operator="containsText" text="NO VALIDADO">
      <formula>NOT(ISERROR(SEARCH("NO VALIDADO",K25)))</formula>
    </cfRule>
    <cfRule type="containsText" dxfId="489" priority="22" operator="containsText" text="VALIDADO">
      <formula>NOT(ISERROR(SEARCH("VALIDADO",K25)))</formula>
    </cfRule>
  </conditionalFormatting>
  <conditionalFormatting sqref="N25:O25">
    <cfRule type="containsText" dxfId="488" priority="17" operator="containsText" text="PENDIENTE">
      <formula>NOT(ISERROR(SEARCH("PENDIENTE",N25)))</formula>
    </cfRule>
    <cfRule type="containsText" dxfId="487" priority="18" operator="containsText" text="NO VALIDADO">
      <formula>NOT(ISERROR(SEARCH("NO VALIDADO",N25)))</formula>
    </cfRule>
    <cfRule type="containsText" dxfId="486" priority="19" operator="containsText" text="VALIDADO">
      <formula>NOT(ISERROR(SEARCH("VALIDADO",N25)))</formula>
    </cfRule>
  </conditionalFormatting>
  <conditionalFormatting sqref="Q25:R25">
    <cfRule type="containsText" dxfId="485" priority="14" operator="containsText" text="PENDIENTE">
      <formula>NOT(ISERROR(SEARCH("PENDIENTE",Q25)))</formula>
    </cfRule>
    <cfRule type="containsText" dxfId="484" priority="15" operator="containsText" text="NO VALIDADO">
      <formula>NOT(ISERROR(SEARCH("NO VALIDADO",Q25)))</formula>
    </cfRule>
    <cfRule type="containsText" dxfId="483" priority="16" operator="containsText" text="VALIDADO">
      <formula>NOT(ISERROR(SEARCH("VALIDADO",Q25)))</formula>
    </cfRule>
  </conditionalFormatting>
  <conditionalFormatting sqref="T25:U25">
    <cfRule type="containsText" dxfId="482" priority="11" operator="containsText" text="PENDIENTE">
      <formula>NOT(ISERROR(SEARCH("PENDIENTE",T25)))</formula>
    </cfRule>
    <cfRule type="containsText" dxfId="481" priority="12" operator="containsText" text="NO VALIDADO">
      <formula>NOT(ISERROR(SEARCH("NO VALIDADO",T25)))</formula>
    </cfRule>
    <cfRule type="containsText" dxfId="480" priority="13" operator="containsText" text="VALIDADO">
      <formula>NOT(ISERROR(SEARCH("VALIDADO",T25)))</formula>
    </cfRule>
  </conditionalFormatting>
  <dataValidations count="6">
    <dataValidation type="list" allowBlank="1" showInputMessage="1" showErrorMessage="1" sqref="D10" xr:uid="{770F4D70-8086-4C7E-825E-AFCB7C75A11E}">
      <formula1>"No Cumple, Parcial,Cumple,Más que Cumple,Mejor Práctica"</formula1>
    </dataValidation>
    <dataValidation type="list" allowBlank="1" showInputMessage="1" showErrorMessage="1" sqref="S10 Q10" xr:uid="{71B496DD-FF03-4BFD-B817-02CFD1EC9B7F}">
      <formula1>"Junio,Julio,Agosto,Septiembre,Octubre"</formula1>
    </dataValidation>
    <dataValidation type="list" allowBlank="1" showInputMessage="1" showErrorMessage="1" sqref="O10" xr:uid="{653300AE-D49D-4803-A94C-5FD2048456AD}">
      <formula1>"Alta,Baja,No Planificado"</formula1>
    </dataValidation>
    <dataValidation type="list" allowBlank="1" showInputMessage="1" showErrorMessage="1" sqref="AB14:AB15 R14:R15 N14:N15 V14:V15" xr:uid="{ABC68FEC-4EBC-40EA-9D4C-BE328E11616C}">
      <formula1>"No Cumple, Parcial, Cumple, Más que Cumple, Mejor Práctica"</formula1>
    </dataValidation>
    <dataValidation type="list" allowBlank="1" showInputMessage="1" showErrorMessage="1" sqref="M12 Q12 U12" xr:uid="{858B619E-BA27-45CE-B0EB-4CBD2B061AAD}">
      <formula1>"Mayo,Junio,Julio,Agosto,Septiembre,Octubre"</formula1>
    </dataValidation>
    <dataValidation type="list" allowBlank="1" showInputMessage="1" showErrorMessage="1" sqref="K14:K15 O14:O15 S14:S15" xr:uid="{FE9AA996-C220-4887-955E-B62550A550A5}">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353DF16-53BF-4BFD-8812-91B69D88C0D8}">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F440-EFBA-4EFA-B9FF-65C33F3ABA79}">
  <sheetPr codeName="Planilha47"/>
  <dimension ref="A1:AB51"/>
  <sheetViews>
    <sheetView showGridLines="0" zoomScale="50" zoomScaleNormal="50" workbookViewId="0">
      <pane xSplit="3" ySplit="4" topLeftCell="D11"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4" t="s">
        <v>732</v>
      </c>
      <c r="L3" s="314"/>
      <c r="M3" s="314"/>
      <c r="N3" s="314"/>
      <c r="O3" s="314"/>
      <c r="P3" s="314"/>
      <c r="Q3" s="314"/>
      <c r="R3" s="314"/>
      <c r="S3" s="314"/>
      <c r="T3" s="63"/>
      <c r="U3" s="63"/>
      <c r="V3" s="63"/>
      <c r="W3" s="10"/>
      <c r="X3" s="10"/>
      <c r="Y3" s="12"/>
      <c r="Z3" s="12"/>
      <c r="AA3" s="12"/>
    </row>
    <row r="4" spans="1:28" ht="35.25" customHeight="1" x14ac:dyDescent="0.25">
      <c r="A4" s="1"/>
      <c r="B4" s="1"/>
      <c r="C4" s="10"/>
      <c r="D4" s="277"/>
      <c r="E4" s="277"/>
      <c r="F4" s="277"/>
      <c r="G4" s="277"/>
      <c r="H4" s="277"/>
      <c r="I4" s="277"/>
      <c r="J4" s="61"/>
      <c r="K4" s="315"/>
      <c r="L4" s="315"/>
      <c r="M4" s="315"/>
      <c r="N4" s="315"/>
      <c r="O4" s="315"/>
      <c r="P4" s="315"/>
      <c r="Q4" s="315"/>
      <c r="R4" s="315"/>
      <c r="S4" s="315"/>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8.0000000000000002E-3</v>
      </c>
      <c r="F7" s="48">
        <f>IF($K$24&lt;&gt;"",IF($K$24=3,3,IF($K$24=2,2,1)),"")</f>
        <v>3</v>
      </c>
      <c r="G7" s="48">
        <f>IF($N$24&lt;&gt;"",IF($N$24=3,3,IF($N$24=2,2,1)),"")</f>
        <v>1</v>
      </c>
      <c r="H7" s="48">
        <f>IF($Q$24&lt;&gt;"",IF($Q$24=3,3,IF($Q$24=2,2,1)),"")</f>
        <v>3</v>
      </c>
      <c r="I7" s="48" t="str">
        <f>IF($T$24&lt;&gt;"",IF($T$24=3,3,IF($T$24=2,2,1)),"")</f>
        <v/>
      </c>
      <c r="J7" s="32"/>
      <c r="K7" s="49" t="s">
        <v>224</v>
      </c>
      <c r="L7" s="46" t="s">
        <v>225</v>
      </c>
      <c r="M7" s="267" t="s">
        <v>733</v>
      </c>
      <c r="N7" s="267"/>
      <c r="O7" s="267"/>
      <c r="P7" s="46" t="s">
        <v>227</v>
      </c>
      <c r="Q7" s="267" t="s">
        <v>734</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1.7000000000000001E-2</v>
      </c>
      <c r="F10" s="52" t="str">
        <f>IF(K20="D","D","-")</f>
        <v>-</v>
      </c>
      <c r="G10" s="52" t="str">
        <f>IF(N20="D","D","-")</f>
        <v>-</v>
      </c>
      <c r="H10" s="52" t="str">
        <f>IF(Q20="D","D","-")</f>
        <v>-</v>
      </c>
      <c r="I10" s="52" t="str">
        <f>IF(T20="D","D","-")</f>
        <v>-</v>
      </c>
      <c r="J10" s="32"/>
      <c r="K10" s="66" t="s">
        <v>230</v>
      </c>
      <c r="L10" s="50" t="s">
        <v>231</v>
      </c>
      <c r="M10" s="75">
        <v>2</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
      </c>
      <c r="E12" s="273">
        <f>IF($D12="Não cumpre",0,IF($D12="Parcial",$E$18*0.4,IF($D12="Cumpre",$E$18*0.7,IF($D12="Mais que cumpre",$E$18*0.85,IF($D12="Melhor Prática",$E$18,0)))))</f>
        <v>0</v>
      </c>
      <c r="F12" s="268" t="str">
        <f>IF($L$24&lt;&gt;"",IF($L$24=3,3,IF($L$24=2,2,1)),"")</f>
        <v/>
      </c>
      <c r="G12" s="268" t="str">
        <f>IF($O$24&lt;&gt;"",IF($O$24=3,3,IF($O$24=2,2,1)),"")</f>
        <v/>
      </c>
      <c r="H12" s="268" t="str">
        <f>IF($R$24&lt;&gt;"",IF($R$24=3,3,IF($R$24=2,2,1)),"")</f>
        <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735</v>
      </c>
      <c r="L18" s="264"/>
      <c r="M18" s="265"/>
      <c r="N18" s="266" t="s">
        <v>736</v>
      </c>
      <c r="O18" s="264"/>
      <c r="P18" s="265"/>
      <c r="Q18" s="266" t="s">
        <v>737</v>
      </c>
      <c r="R18" s="264"/>
      <c r="S18" s="265"/>
      <c r="T18" s="266" t="s">
        <v>738</v>
      </c>
      <c r="U18" s="264"/>
      <c r="V18" s="265"/>
      <c r="W18" s="9"/>
      <c r="X18" s="9"/>
      <c r="Y18" s="23"/>
    </row>
    <row r="19" spans="1:25" ht="141.75" customHeight="1" outlineLevel="2" x14ac:dyDescent="0.3">
      <c r="A19" s="1"/>
      <c r="B19" s="283"/>
      <c r="C19" s="283"/>
      <c r="D19" s="42" t="s">
        <v>257</v>
      </c>
      <c r="E19" s="307" t="s">
        <v>739</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740</v>
      </c>
      <c r="L21" s="264"/>
      <c r="M21" s="265"/>
      <c r="N21" s="266" t="s">
        <v>537</v>
      </c>
      <c r="O21" s="264"/>
      <c r="P21" s="265"/>
      <c r="Q21" s="266" t="s">
        <v>741</v>
      </c>
      <c r="R21" s="264"/>
      <c r="S21" s="265"/>
      <c r="T21" s="266" t="s">
        <v>263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c r="M24" s="289"/>
      <c r="N24" s="56">
        <v>1</v>
      </c>
      <c r="O24" s="40"/>
      <c r="P24" s="289"/>
      <c r="Q24" s="56">
        <v>3</v>
      </c>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742</v>
      </c>
      <c r="L26" s="45"/>
      <c r="M26" s="289"/>
      <c r="N26" s="58"/>
      <c r="O26" s="45"/>
      <c r="P26" s="289"/>
      <c r="Q26" s="58" t="s">
        <v>743</v>
      </c>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479" priority="6" operator="containsText" text="Finalizado">
      <formula>NOT(ISERROR(SEARCH("Finalizado",D15)))</formula>
    </cfRule>
    <cfRule type="containsText" dxfId="478" priority="7" operator="containsText" text="No Planificado">
      <formula>NOT(ISERROR(SEARCH("No Planificado",D15)))</formula>
    </cfRule>
    <cfRule type="containsText" dxfId="477" priority="8" operator="containsText" text="A Tiempo">
      <formula>NOT(ISERROR(SEARCH("A Tiempo",D15)))</formula>
    </cfRule>
    <cfRule type="containsText" dxfId="476" priority="9" operator="containsText" text="Retrasado">
      <formula>NOT(ISERROR(SEARCH("Retrasado",D15)))</formula>
    </cfRule>
  </conditionalFormatting>
  <conditionalFormatting sqref="F7:F8">
    <cfRule type="iconSet" priority="13">
      <iconSet showValue="0">
        <cfvo type="percent" val="0"/>
        <cfvo type="num" val="2"/>
        <cfvo type="num" val="3"/>
      </iconSet>
    </cfRule>
  </conditionalFormatting>
  <conditionalFormatting sqref="F12 F14">
    <cfRule type="iconSet" priority="11">
      <iconSet showValue="0">
        <cfvo type="percent" val="0"/>
        <cfvo type="num" val="2"/>
        <cfvo type="num" val="3"/>
      </iconSet>
    </cfRule>
  </conditionalFormatting>
  <conditionalFormatting sqref="G7:I8">
    <cfRule type="iconSet" priority="12">
      <iconSet showValue="0">
        <cfvo type="percent" val="0"/>
        <cfvo type="num" val="2"/>
        <cfvo type="num" val="3"/>
      </iconSet>
    </cfRule>
  </conditionalFormatting>
  <conditionalFormatting sqref="G12:I12 G14:I14">
    <cfRule type="iconSet" priority="10">
      <iconSet showValue="0">
        <cfvo type="percent" val="0"/>
        <cfvo type="num" val="2"/>
        <cfvo type="num" val="3"/>
      </iconSet>
    </cfRule>
  </conditionalFormatting>
  <conditionalFormatting sqref="K24">
    <cfRule type="iconSet" priority="4">
      <iconSet showValue="0">
        <cfvo type="percent" val="0"/>
        <cfvo type="num" val="2"/>
        <cfvo type="num" val="3"/>
      </iconSet>
    </cfRule>
  </conditionalFormatting>
  <conditionalFormatting sqref="K25:L25">
    <cfRule type="containsText" dxfId="475" priority="24" operator="containsText" text="PENDIENTE">
      <formula>NOT(ISERROR(SEARCH("PENDIENTE",K25)))</formula>
    </cfRule>
    <cfRule type="containsText" dxfId="474" priority="25" operator="containsText" text="NO VALIDADO">
      <formula>NOT(ISERROR(SEARCH("NO VALIDADO",K25)))</formula>
    </cfRule>
    <cfRule type="containsText" dxfId="473" priority="26" operator="containsText" text="VALIDADO">
      <formula>NOT(ISERROR(SEARCH("VALIDADO",K25)))</formula>
    </cfRule>
  </conditionalFormatting>
  <conditionalFormatting sqref="L24 O24 R24 T24:U24">
    <cfRule type="iconSet" priority="14">
      <iconSet showValue="0">
        <cfvo type="percent" val="0"/>
        <cfvo type="num" val="2"/>
        <cfvo type="num" val="3"/>
      </iconSet>
    </cfRule>
  </conditionalFormatting>
  <conditionalFormatting sqref="N24">
    <cfRule type="iconSet" priority="2">
      <iconSet showValue="0">
        <cfvo type="percent" val="0"/>
        <cfvo type="num" val="2"/>
        <cfvo type="num" val="3"/>
      </iconSet>
    </cfRule>
  </conditionalFormatting>
  <conditionalFormatting sqref="N25:O25">
    <cfRule type="containsText" dxfId="472" priority="21" operator="containsText" text="PENDIENTE">
      <formula>NOT(ISERROR(SEARCH("PENDIENTE",N25)))</formula>
    </cfRule>
    <cfRule type="containsText" dxfId="471" priority="22" operator="containsText" text="NO VALIDADO">
      <formula>NOT(ISERROR(SEARCH("NO VALIDADO",N25)))</formula>
    </cfRule>
    <cfRule type="containsText" dxfId="470" priority="23" operator="containsText" text="VALIDADO">
      <formula>NOT(ISERROR(SEARCH("VALIDADO",N25)))</formula>
    </cfRule>
  </conditionalFormatting>
  <conditionalFormatting sqref="Q24">
    <cfRule type="iconSet" priority="3">
      <iconSet showValue="0">
        <cfvo type="percent" val="0"/>
        <cfvo type="num" val="2"/>
        <cfvo type="num" val="3"/>
      </iconSet>
    </cfRule>
  </conditionalFormatting>
  <conditionalFormatting sqref="Q25:R25">
    <cfRule type="containsText" dxfId="469" priority="18" operator="containsText" text="PENDIENTE">
      <formula>NOT(ISERROR(SEARCH("PENDIENTE",Q25)))</formula>
    </cfRule>
    <cfRule type="containsText" dxfId="468" priority="19" operator="containsText" text="NO VALIDADO">
      <formula>NOT(ISERROR(SEARCH("NO VALIDADO",Q25)))</formula>
    </cfRule>
    <cfRule type="containsText" dxfId="467" priority="20" operator="containsText" text="VALIDADO">
      <formula>NOT(ISERROR(SEARCH("VALIDADO",Q25)))</formula>
    </cfRule>
  </conditionalFormatting>
  <conditionalFormatting sqref="T25:U25">
    <cfRule type="containsText" dxfId="466" priority="15" operator="containsText" text="PENDIENTE">
      <formula>NOT(ISERROR(SEARCH("PENDIENTE",T25)))</formula>
    </cfRule>
    <cfRule type="containsText" dxfId="465" priority="16" operator="containsText" text="NO VALIDADO">
      <formula>NOT(ISERROR(SEARCH("NO VALIDADO",T25)))</formula>
    </cfRule>
    <cfRule type="containsText" dxfId="464" priority="17" operator="containsText" text="VALIDADO">
      <formula>NOT(ISERROR(SEARCH("VALIDADO",T25)))</formula>
    </cfRule>
  </conditionalFormatting>
  <dataValidations count="6">
    <dataValidation type="list" allowBlank="1" showInputMessage="1" showErrorMessage="1" sqref="D10" xr:uid="{8FC07879-B7D3-42ED-9877-A864BC5139B8}">
      <formula1>"No Cumple, Parcial,Cumple,Más que Cumple,Mejor Práctica"</formula1>
    </dataValidation>
    <dataValidation type="list" allowBlank="1" showInputMessage="1" showErrorMessage="1" sqref="S10 Q10" xr:uid="{2B6D4618-B6C2-4C4E-9EEE-1B93586829CE}">
      <formula1>"Junio,Julio,Agosto,Septiembre,Octubre"</formula1>
    </dataValidation>
    <dataValidation type="list" allowBlank="1" showInputMessage="1" showErrorMessage="1" sqref="O10" xr:uid="{FD6DEDA4-AB9E-4391-A074-320374D2F5D6}">
      <formula1>"Alta,Baja,No Planificado"</formula1>
    </dataValidation>
    <dataValidation type="list" allowBlank="1" showInputMessage="1" showErrorMessage="1" sqref="AB14:AB15 R14:R15 N14:N15 V14:V15" xr:uid="{18885F8C-EF33-4524-A889-D0C8BDA4EBBE}">
      <formula1>"No Cumple, Parcial, Cumple, Más que Cumple, Mejor Práctica"</formula1>
    </dataValidation>
    <dataValidation type="list" allowBlank="1" showInputMessage="1" showErrorMessage="1" sqref="M12 Q12 U12" xr:uid="{A93E9641-DB00-4119-BEB7-AD92EBB91B9F}">
      <formula1>"Mayo,Junio,Julio,Agosto,Septiembre,Octubre"</formula1>
    </dataValidation>
    <dataValidation type="list" allowBlank="1" showInputMessage="1" showErrorMessage="1" sqref="K14:K15 O14:O15 S14:S15" xr:uid="{E8552959-1FC4-4D1D-99CB-81CF3048E2E4}">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87B517F-BD2C-4252-B89E-27C91EE86159}">
            <x14:iconSet iconSet="3Stars" showValue="0">
              <x14:cfvo type="percent">
                <xm:f>0</xm:f>
              </x14:cfvo>
              <x14:cfvo type="num">
                <xm:f>2</xm:f>
              </x14:cfvo>
              <x14:cfvo type="num">
                <xm:f>3</xm:f>
              </x14:cfvo>
            </x14:iconSet>
          </x14:cfRule>
          <xm:sqref>M10</xm:sqref>
        </x14:conditionalFormatting>
      </x14:conditionalFormattings>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27E5C-7B6C-4B4F-84A4-55A3D2216B85}">
  <sheetPr codeName="Planilha48"/>
  <dimension ref="A1:AB51"/>
  <sheetViews>
    <sheetView showGridLines="0" zoomScale="50" zoomScaleNormal="50" workbookViewId="0">
      <pane xSplit="3" ySplit="4" topLeftCell="D7"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744</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6.0000000000000001E-3</v>
      </c>
      <c r="F7" s="48">
        <f>IF($K$24&lt;&gt;"",IF($K$24=3,3,IF($K$24=2,2,1)),"")</f>
        <v>3</v>
      </c>
      <c r="G7" s="48">
        <f>IF($N$24&lt;&gt;"",IF($N$24=3,3,IF($N$24=2,2,1)),"")</f>
        <v>2</v>
      </c>
      <c r="H7" s="48">
        <f>IF($Q$24&lt;&gt;"",IF($Q$24=3,3,IF($Q$24=2,2,1)),"")</f>
        <v>1</v>
      </c>
      <c r="I7" s="48" t="str">
        <f>IF($T$24&lt;&gt;"",IF($T$24=3,3,IF($T$24=2,2,1)),"")</f>
        <v/>
      </c>
      <c r="J7" s="32"/>
      <c r="K7" s="49" t="s">
        <v>224</v>
      </c>
      <c r="L7" s="46" t="s">
        <v>225</v>
      </c>
      <c r="M7" s="267" t="s">
        <v>745</v>
      </c>
      <c r="N7" s="267"/>
      <c r="O7" s="267"/>
      <c r="P7" s="46" t="s">
        <v>227</v>
      </c>
      <c r="Q7" s="267" t="s">
        <v>746</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1.2749999999999999E-2</v>
      </c>
      <c r="F10" s="52" t="str">
        <f>IF(K20="D","D","-")</f>
        <v>-</v>
      </c>
      <c r="G10" s="52" t="str">
        <f>IF(N20="D","D","-")</f>
        <v>-</v>
      </c>
      <c r="H10" s="52" t="str">
        <f>IF(Q20="D","D","-")</f>
        <v>-</v>
      </c>
      <c r="I10" s="52" t="str">
        <f>IF(T20="D","D","-")</f>
        <v>-</v>
      </c>
      <c r="J10" s="32"/>
      <c r="K10" s="66" t="s">
        <v>230</v>
      </c>
      <c r="L10" s="50" t="s">
        <v>231</v>
      </c>
      <c r="M10" s="75">
        <v>2</v>
      </c>
      <c r="N10" s="50" t="s">
        <v>232</v>
      </c>
      <c r="O10" s="53" t="s">
        <v>374</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1.0499999999999999E-2</v>
      </c>
      <c r="F12" s="268">
        <f>IF($L$24&lt;&gt;"",IF($L$24=3,3,IF($L$24=2,2,1)),"")</f>
        <v>3</v>
      </c>
      <c r="G12" s="268">
        <f>IF($O$24&lt;&gt;"",IF($O$24=3,3,IF($O$24=2,2,1)),"")</f>
        <v>3</v>
      </c>
      <c r="H12" s="268">
        <f>IF($R$24&lt;&gt;"",IF($R$24=3,3,IF($R$24=2,2,1)),"")</f>
        <v>2</v>
      </c>
      <c r="I12" s="268" t="str">
        <f>IF($U$24&lt;&gt;"",IF($U$24=3,3,IF($U$24=2,2,1)),"")</f>
        <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246</v>
      </c>
      <c r="O14" s="266" t="s">
        <v>247</v>
      </c>
      <c r="P14" s="286" t="s">
        <v>323</v>
      </c>
      <c r="Q14" s="286"/>
      <c r="R14" s="265" t="s">
        <v>305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250</v>
      </c>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747</v>
      </c>
      <c r="L18" s="264"/>
      <c r="M18" s="265"/>
      <c r="N18" s="266" t="s">
        <v>748</v>
      </c>
      <c r="O18" s="264"/>
      <c r="P18" s="265"/>
      <c r="Q18" s="266" t="s">
        <v>749</v>
      </c>
      <c r="R18" s="264"/>
      <c r="S18" s="265"/>
      <c r="T18" s="266" t="s">
        <v>750</v>
      </c>
      <c r="U18" s="264"/>
      <c r="V18" s="265"/>
      <c r="W18" s="9"/>
      <c r="X18" s="9"/>
      <c r="Y18" s="23"/>
    </row>
    <row r="19" spans="1:25" ht="141.75" customHeight="1" outlineLevel="2" x14ac:dyDescent="0.3">
      <c r="A19" s="1"/>
      <c r="B19" s="283"/>
      <c r="C19" s="283"/>
      <c r="D19" s="42" t="s">
        <v>257</v>
      </c>
      <c r="E19" s="307" t="s">
        <v>751</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752</v>
      </c>
      <c r="L21" s="264"/>
      <c r="M21" s="265"/>
      <c r="N21" s="266" t="s">
        <v>441</v>
      </c>
      <c r="O21" s="264"/>
      <c r="P21" s="265"/>
      <c r="Q21" s="266" t="s">
        <v>753</v>
      </c>
      <c r="R21" s="264"/>
      <c r="S21" s="265"/>
      <c r="T21" s="266" t="s">
        <v>753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v>1</v>
      </c>
      <c r="R24" s="40">
        <v>2</v>
      </c>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754</v>
      </c>
      <c r="L26" s="45"/>
      <c r="M26" s="289"/>
      <c r="N26" s="58" t="s">
        <v>755</v>
      </c>
      <c r="O26" s="45" t="s">
        <v>756</v>
      </c>
      <c r="P26" s="289"/>
      <c r="Q26" s="58" t="s">
        <v>757</v>
      </c>
      <c r="R26" s="45" t="s">
        <v>758</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463" priority="3" operator="containsText" text="Finalizado">
      <formula>NOT(ISERROR(SEARCH("Finalizado",D15)))</formula>
    </cfRule>
    <cfRule type="containsText" dxfId="462" priority="4" operator="containsText" text="No Planificado">
      <formula>NOT(ISERROR(SEARCH("No Planificado",D15)))</formula>
    </cfRule>
    <cfRule type="containsText" dxfId="461" priority="5" operator="containsText" text="A Tiempo">
      <formula>NOT(ISERROR(SEARCH("A Tiempo",D15)))</formula>
    </cfRule>
    <cfRule type="containsText" dxfId="460" priority="6" operator="containsText" text="Retrasado">
      <formula>NOT(ISERROR(SEARCH("Retrasado",D15)))</formula>
    </cfRule>
  </conditionalFormatting>
  <conditionalFormatting sqref="F7:F8">
    <cfRule type="iconSet" priority="10">
      <iconSet showValue="0">
        <cfvo type="percent" val="0"/>
        <cfvo type="num" val="2"/>
        <cfvo type="num" val="3"/>
      </iconSet>
    </cfRule>
  </conditionalFormatting>
  <conditionalFormatting sqref="F12 F14">
    <cfRule type="iconSet" priority="8">
      <iconSet showValue="0">
        <cfvo type="percent" val="0"/>
        <cfvo type="num" val="2"/>
        <cfvo type="num" val="3"/>
      </iconSet>
    </cfRule>
  </conditionalFormatting>
  <conditionalFormatting sqref="G7:I8">
    <cfRule type="iconSet" priority="9">
      <iconSet showValue="0">
        <cfvo type="percent" val="0"/>
        <cfvo type="num" val="2"/>
        <cfvo type="num" val="3"/>
      </iconSet>
    </cfRule>
  </conditionalFormatting>
  <conditionalFormatting sqref="G12:I12 G14:I14">
    <cfRule type="iconSet" priority="7">
      <iconSet showValue="0">
        <cfvo type="percent" val="0"/>
        <cfvo type="num" val="2"/>
        <cfvo type="num" val="3"/>
      </iconSet>
    </cfRule>
  </conditionalFormatting>
  <conditionalFormatting sqref="K24:L24 N24:O24 Q24:R24 T24:U24">
    <cfRule type="iconSet" priority="11">
      <iconSet showValue="0">
        <cfvo type="percent" val="0"/>
        <cfvo type="num" val="2"/>
        <cfvo type="num" val="3"/>
      </iconSet>
    </cfRule>
  </conditionalFormatting>
  <conditionalFormatting sqref="K25:L25">
    <cfRule type="containsText" dxfId="459" priority="21" operator="containsText" text="PENDIENTE">
      <formula>NOT(ISERROR(SEARCH("PENDIENTE",K25)))</formula>
    </cfRule>
    <cfRule type="containsText" dxfId="458" priority="22" operator="containsText" text="NO VALIDADO">
      <formula>NOT(ISERROR(SEARCH("NO VALIDADO",K25)))</formula>
    </cfRule>
    <cfRule type="containsText" dxfId="457" priority="23" operator="containsText" text="VALIDADO">
      <formula>NOT(ISERROR(SEARCH("VALIDADO",K25)))</formula>
    </cfRule>
  </conditionalFormatting>
  <conditionalFormatting sqref="N25:O25">
    <cfRule type="containsText" dxfId="456" priority="18" operator="containsText" text="PENDIENTE">
      <formula>NOT(ISERROR(SEARCH("PENDIENTE",N25)))</formula>
    </cfRule>
    <cfRule type="containsText" dxfId="455" priority="19" operator="containsText" text="NO VALIDADO">
      <formula>NOT(ISERROR(SEARCH("NO VALIDADO",N25)))</formula>
    </cfRule>
    <cfRule type="containsText" dxfId="454" priority="20" operator="containsText" text="VALIDADO">
      <formula>NOT(ISERROR(SEARCH("VALIDADO",N25)))</formula>
    </cfRule>
  </conditionalFormatting>
  <conditionalFormatting sqref="Q25:R25">
    <cfRule type="containsText" dxfId="453" priority="15" operator="containsText" text="PENDIENTE">
      <formula>NOT(ISERROR(SEARCH("PENDIENTE",Q25)))</formula>
    </cfRule>
    <cfRule type="containsText" dxfId="452" priority="16" operator="containsText" text="NO VALIDADO">
      <formula>NOT(ISERROR(SEARCH("NO VALIDADO",Q25)))</formula>
    </cfRule>
    <cfRule type="containsText" dxfId="451" priority="17" operator="containsText" text="VALIDADO">
      <formula>NOT(ISERROR(SEARCH("VALIDADO",Q25)))</formula>
    </cfRule>
  </conditionalFormatting>
  <conditionalFormatting sqref="T25:U25">
    <cfRule type="containsText" dxfId="450" priority="12" operator="containsText" text="PENDIENTE">
      <formula>NOT(ISERROR(SEARCH("PENDIENTE",T25)))</formula>
    </cfRule>
    <cfRule type="containsText" dxfId="449" priority="13" operator="containsText" text="NO VALIDADO">
      <formula>NOT(ISERROR(SEARCH("NO VALIDADO",T25)))</formula>
    </cfRule>
    <cfRule type="containsText" dxfId="448" priority="14" operator="containsText" text="VALIDADO">
      <formula>NOT(ISERROR(SEARCH("VALIDADO",T25)))</formula>
    </cfRule>
  </conditionalFormatting>
  <dataValidations count="6">
    <dataValidation type="list" allowBlank="1" showInputMessage="1" showErrorMessage="1" sqref="K14:K15 O14:O15 S14:S15" xr:uid="{EB5B8694-83BC-4282-AE3A-15B035D29437}">
      <formula1>"No Iniciado, En Progreso,Finalizado"</formula1>
    </dataValidation>
    <dataValidation type="list" allowBlank="1" showInputMessage="1" showErrorMessage="1" sqref="M12 Q12 U12" xr:uid="{7476E87B-CA3C-4CA8-8C1F-17AE16DC3877}">
      <formula1>"Mayo,Junio,Julio,Agosto,Septiembre,Octubre"</formula1>
    </dataValidation>
    <dataValidation type="list" allowBlank="1" showInputMessage="1" showErrorMessage="1" sqref="AB14:AB15 R14:R15 N14:N15 V14:V15" xr:uid="{A13D4D6B-87F7-41C6-8EEE-3B738F9B3BE2}">
      <formula1>"No Cumple, Parcial, Cumple, Más que Cumple, Mejor Práctica"</formula1>
    </dataValidation>
    <dataValidation type="list" allowBlank="1" showInputMessage="1" showErrorMessage="1" sqref="O10" xr:uid="{0A5DD88B-FEBB-4745-BF50-02B6CB76856B}">
      <formula1>"Alta,Baja,No Planificado"</formula1>
    </dataValidation>
    <dataValidation type="list" allowBlank="1" showInputMessage="1" showErrorMessage="1" sqref="S10 Q10" xr:uid="{F1D7BF08-3675-4F4D-8646-12A8CB898B04}">
      <formula1>"Junio,Julio,Agosto,Septiembre,Octubre"</formula1>
    </dataValidation>
    <dataValidation type="list" allowBlank="1" showInputMessage="1" showErrorMessage="1" sqref="D10" xr:uid="{F51F7CA7-9F27-4711-BB6D-9C23B291BA26}">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BB9C4F4-F8A6-4D85-9404-9CF9B62E6625}">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0AAE1-CA89-44A5-B465-D49C3DE4048E}">
  <dimension ref="A1:AZ77"/>
  <sheetViews>
    <sheetView showGridLines="0" tabSelected="1" zoomScale="55" zoomScaleNormal="55" workbookViewId="0">
      <pane xSplit="6" ySplit="9" topLeftCell="G26" activePane="bottomRight" state="frozen"/>
      <selection pane="topRight" activeCell="O47" sqref="O47"/>
      <selection pane="bottomLeft" activeCell="O47" sqref="O47"/>
      <selection pane="bottomRight" activeCell="M2" sqref="M2"/>
    </sheetView>
  </sheetViews>
  <sheetFormatPr defaultColWidth="9.140625" defaultRowHeight="15" customHeight="1" outlineLevelCol="1" x14ac:dyDescent="0.25"/>
  <cols>
    <col min="1" max="1" width="2.140625" customWidth="1"/>
    <col min="2" max="2" width="13.42578125" customWidth="1"/>
    <col min="3" max="3" width="19.140625" customWidth="1"/>
    <col min="4" max="4" width="6.140625" customWidth="1"/>
    <col min="5" max="5" width="37.85546875" customWidth="1"/>
    <col min="6" max="6" width="10.42578125" customWidth="1"/>
    <col min="7" max="7" width="20.42578125" customWidth="1"/>
    <col min="8" max="8" width="11.140625" customWidth="1"/>
    <col min="9" max="12" width="5.85546875" customWidth="1" outlineLevel="1"/>
    <col min="13" max="13" width="20.5703125" customWidth="1"/>
    <col min="14" max="14" width="11.5703125" customWidth="1"/>
    <col min="15" max="15" width="10.85546875" customWidth="1"/>
    <col min="16" max="19" width="5.85546875" hidden="1" customWidth="1" outlineLevel="1"/>
    <col min="20" max="20" width="12.42578125" hidden="1" customWidth="1" outlineLevel="1"/>
    <col min="21" max="21" width="16.85546875" hidden="1" customWidth="1" outlineLevel="1"/>
    <col min="22" max="22" width="6.140625" hidden="1" customWidth="1" outlineLevel="1"/>
    <col min="23" max="26" width="6.7109375" hidden="1" customWidth="1" outlineLevel="1"/>
    <col min="27" max="27" width="20" customWidth="1" collapsed="1"/>
    <col min="28" max="28" width="19.140625" customWidth="1"/>
    <col min="29" max="29" width="12.140625" customWidth="1"/>
    <col min="30" max="30" width="11.5703125" customWidth="1"/>
    <col min="31" max="39" width="5.85546875" customWidth="1" outlineLevel="1"/>
    <col min="40" max="42" width="9.140625" customWidth="1"/>
    <col min="43" max="46" width="8.5703125" style="184" hidden="1" customWidth="1"/>
    <col min="47" max="47" width="9.140625" style="184" customWidth="1"/>
    <col min="48" max="48" width="14.85546875" style="184" bestFit="1" customWidth="1"/>
    <col min="49" max="49" width="9.140625" style="189" customWidth="1"/>
    <col min="50" max="52" width="9.140625" style="184"/>
  </cols>
  <sheetData>
    <row r="1" spans="1:49" ht="11.25" customHeight="1" x14ac:dyDescent="0.25">
      <c r="A1" s="13"/>
      <c r="B1" s="13"/>
      <c r="C1" s="13"/>
      <c r="D1" s="13"/>
      <c r="E1" s="13"/>
      <c r="F1" s="13"/>
      <c r="G1" s="165" t="s">
        <v>43</v>
      </c>
      <c r="H1" s="166"/>
      <c r="I1" s="13"/>
      <c r="J1" s="13"/>
      <c r="K1" s="13"/>
      <c r="L1" s="13"/>
      <c r="M1" s="13"/>
      <c r="N1" s="13"/>
      <c r="O1" s="13"/>
      <c r="P1" s="13"/>
      <c r="Q1" s="13"/>
      <c r="R1" s="13"/>
      <c r="S1" s="13"/>
      <c r="T1" s="13"/>
      <c r="U1" s="13"/>
      <c r="V1" s="13"/>
      <c r="W1" s="13"/>
      <c r="X1" s="13"/>
      <c r="Y1" s="13"/>
      <c r="Z1" s="13"/>
      <c r="AA1" s="13"/>
      <c r="AB1" s="13"/>
      <c r="AC1" s="13"/>
      <c r="AD1" s="13"/>
      <c r="AE1" s="13"/>
      <c r="AF1" s="13"/>
      <c r="AG1" s="1"/>
      <c r="AH1" s="1"/>
      <c r="AI1" s="1"/>
      <c r="AJ1" s="1"/>
      <c r="AK1" s="1"/>
      <c r="AL1" s="1"/>
      <c r="AM1" s="1"/>
    </row>
    <row r="2" spans="1:49" ht="43.5" x14ac:dyDescent="0.35">
      <c r="A2" s="1"/>
      <c r="B2" s="11"/>
      <c r="C2" s="11"/>
      <c r="D2" s="233" t="s">
        <v>0</v>
      </c>
      <c r="E2" s="233"/>
      <c r="F2" s="80"/>
      <c r="G2" s="167">
        <f>SUM(AN10:AN73,H75)</f>
        <v>0.74000000000000021</v>
      </c>
      <c r="H2" s="11"/>
      <c r="I2" s="11"/>
      <c r="J2" s="11"/>
      <c r="K2" s="11"/>
      <c r="L2" s="11"/>
      <c r="M2" s="11"/>
      <c r="N2" s="11"/>
      <c r="O2" s="11"/>
      <c r="P2" s="11"/>
      <c r="Q2" s="11"/>
      <c r="R2" s="11"/>
      <c r="S2" s="11"/>
      <c r="T2" s="11"/>
      <c r="U2" s="11"/>
      <c r="V2" s="11"/>
      <c r="W2" s="11"/>
      <c r="X2" s="11"/>
      <c r="Y2" s="11"/>
      <c r="Z2" s="11"/>
      <c r="AA2" s="11"/>
      <c r="AB2" s="11"/>
      <c r="AC2" s="11"/>
      <c r="AD2" s="11"/>
      <c r="AE2" s="11"/>
      <c r="AF2" s="11"/>
      <c r="AG2" s="1"/>
      <c r="AH2" s="1"/>
      <c r="AI2" s="161"/>
      <c r="AJ2" s="1"/>
      <c r="AK2" s="1"/>
      <c r="AL2" s="1"/>
      <c r="AM2" s="1"/>
    </row>
    <row r="3" spans="1:49" ht="43.5" x14ac:dyDescent="0.25">
      <c r="A3" s="1"/>
      <c r="B3" s="10"/>
      <c r="C3" s="10"/>
      <c r="D3" s="234" t="s">
        <v>1</v>
      </c>
      <c r="E3" s="234"/>
      <c r="F3" s="125"/>
      <c r="G3" s="235" t="s">
        <v>44</v>
      </c>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1"/>
      <c r="AH3" s="1"/>
      <c r="AI3" s="1"/>
      <c r="AJ3" s="1"/>
      <c r="AK3" s="1"/>
      <c r="AL3" s="1"/>
      <c r="AM3" s="1"/>
    </row>
    <row r="4" spans="1:49" ht="7.5" customHeight="1" x14ac:dyDescent="0.25">
      <c r="A4" s="1"/>
      <c r="B4" s="1"/>
      <c r="C4" s="1"/>
      <c r="D4" s="1"/>
      <c r="E4" s="1"/>
      <c r="F4" s="1"/>
      <c r="G4" s="1"/>
      <c r="H4" s="162"/>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49" ht="19.5" customHeight="1" x14ac:dyDescent="0.25">
      <c r="A5" s="1"/>
      <c r="B5" s="237" t="s">
        <v>45</v>
      </c>
      <c r="C5" s="237"/>
      <c r="D5" s="237"/>
      <c r="E5" s="237"/>
      <c r="F5" s="1"/>
      <c r="G5" s="237" t="s">
        <v>46</v>
      </c>
      <c r="H5" s="237"/>
      <c r="I5" s="237"/>
      <c r="J5" s="237"/>
      <c r="K5" s="237"/>
      <c r="L5" s="1"/>
      <c r="M5" s="237" t="s">
        <v>26</v>
      </c>
      <c r="N5" s="237"/>
      <c r="O5" s="64"/>
      <c r="P5" s="64"/>
      <c r="Q5" s="64"/>
      <c r="R5" s="64"/>
      <c r="S5" s="64"/>
      <c r="T5" s="1"/>
      <c r="U5" s="1"/>
      <c r="V5" s="1"/>
      <c r="W5" s="1"/>
      <c r="X5" s="1"/>
      <c r="Y5" s="1"/>
      <c r="Z5" s="1"/>
      <c r="AA5" s="237" t="s">
        <v>47</v>
      </c>
      <c r="AB5" s="237"/>
      <c r="AC5" s="64"/>
      <c r="AD5" s="64"/>
      <c r="AE5" s="64"/>
      <c r="AF5" s="64"/>
      <c r="AG5" s="64"/>
      <c r="AH5" s="1"/>
      <c r="AI5" s="1"/>
      <c r="AJ5" s="1" t="s">
        <v>48</v>
      </c>
      <c r="AK5" s="1"/>
      <c r="AL5" s="1"/>
      <c r="AM5" s="1"/>
    </row>
    <row r="6" spans="1:49" ht="11.25" customHeight="1" x14ac:dyDescent="0.25">
      <c r="A6" s="1"/>
      <c r="B6" s="1"/>
      <c r="C6" s="1"/>
      <c r="D6" s="1"/>
      <c r="E6" s="1"/>
      <c r="F6" s="1"/>
      <c r="G6" s="1"/>
      <c r="H6" s="1"/>
      <c r="I6" s="1"/>
      <c r="J6" s="1"/>
      <c r="K6" s="1"/>
      <c r="L6" s="1"/>
      <c r="M6" s="1"/>
      <c r="N6" s="1"/>
      <c r="O6" s="1"/>
      <c r="P6" s="1"/>
      <c r="Q6" s="1"/>
      <c r="R6" s="1"/>
      <c r="S6" s="1"/>
      <c r="T6" s="1"/>
      <c r="U6" s="1"/>
      <c r="V6" s="144">
        <v>6</v>
      </c>
      <c r="W6" s="144">
        <v>7</v>
      </c>
      <c r="X6" s="144">
        <v>8</v>
      </c>
      <c r="Y6" s="144">
        <v>9</v>
      </c>
      <c r="Z6" s="144">
        <v>10</v>
      </c>
      <c r="AA6" s="1"/>
      <c r="AB6" s="1"/>
      <c r="AC6" s="1"/>
      <c r="AD6" s="1"/>
      <c r="AE6" s="1"/>
      <c r="AF6" s="1"/>
      <c r="AG6" s="1"/>
      <c r="AH6" s="1"/>
      <c r="AI6" s="1"/>
      <c r="AJ6" s="1"/>
      <c r="AK6" s="1"/>
      <c r="AL6" s="1"/>
      <c r="AM6" s="1"/>
    </row>
    <row r="7" spans="1:49" ht="22.5" customHeight="1" x14ac:dyDescent="0.25">
      <c r="A7" s="1"/>
      <c r="B7" s="239" t="s">
        <v>49</v>
      </c>
      <c r="C7" s="239" t="s">
        <v>50</v>
      </c>
      <c r="D7" s="239" t="s">
        <v>51</v>
      </c>
      <c r="E7" s="239" t="s">
        <v>52</v>
      </c>
      <c r="F7" s="239" t="s">
        <v>53</v>
      </c>
      <c r="G7" s="240" t="s">
        <v>54</v>
      </c>
      <c r="H7" s="240" t="s">
        <v>55</v>
      </c>
      <c r="I7" s="241" t="s">
        <v>56</v>
      </c>
      <c r="J7" s="241" t="s">
        <v>57</v>
      </c>
      <c r="K7" s="241" t="s">
        <v>58</v>
      </c>
      <c r="L7" s="241" t="s">
        <v>59</v>
      </c>
      <c r="M7" s="238" t="s">
        <v>60</v>
      </c>
      <c r="N7" s="238" t="s">
        <v>61</v>
      </c>
      <c r="O7" s="238" t="s">
        <v>62</v>
      </c>
      <c r="P7" s="243" t="s">
        <v>56</v>
      </c>
      <c r="Q7" s="243" t="s">
        <v>57</v>
      </c>
      <c r="R7" s="243" t="s">
        <v>58</v>
      </c>
      <c r="S7" s="243" t="s">
        <v>59</v>
      </c>
      <c r="T7" s="244" t="s">
        <v>63</v>
      </c>
      <c r="U7" s="244" t="s">
        <v>64</v>
      </c>
      <c r="V7" s="242" t="s">
        <v>65</v>
      </c>
      <c r="W7" s="242" t="s">
        <v>66</v>
      </c>
      <c r="X7" s="242" t="s">
        <v>67</v>
      </c>
      <c r="Y7" s="242" t="s">
        <v>68</v>
      </c>
      <c r="Z7" s="242" t="s">
        <v>69</v>
      </c>
      <c r="AA7" s="257" t="s">
        <v>70</v>
      </c>
      <c r="AB7" s="257" t="s">
        <v>71</v>
      </c>
      <c r="AC7" s="257" t="s">
        <v>72</v>
      </c>
      <c r="AD7" s="257" t="s">
        <v>73</v>
      </c>
      <c r="AE7" s="245" t="s">
        <v>56</v>
      </c>
      <c r="AF7" s="245" t="s">
        <v>57</v>
      </c>
      <c r="AG7" s="245" t="s">
        <v>58</v>
      </c>
      <c r="AH7" s="245" t="s">
        <v>59</v>
      </c>
      <c r="AI7" s="232" t="str">
        <f>IF(COUNTA(F16:I16)=0,"NBC","BC")</f>
        <v>BC</v>
      </c>
      <c r="AJ7" s="232" t="s">
        <v>56</v>
      </c>
      <c r="AK7" s="232" t="s">
        <v>57</v>
      </c>
      <c r="AL7" s="232" t="s">
        <v>58</v>
      </c>
      <c r="AM7" s="232" t="s">
        <v>59</v>
      </c>
    </row>
    <row r="8" spans="1:49" ht="15" customHeight="1" x14ac:dyDescent="0.25">
      <c r="A8" s="1"/>
      <c r="B8" s="239"/>
      <c r="C8" s="239"/>
      <c r="D8" s="239"/>
      <c r="E8" s="239"/>
      <c r="F8" s="239"/>
      <c r="G8" s="240"/>
      <c r="H8" s="240"/>
      <c r="I8" s="241"/>
      <c r="J8" s="241"/>
      <c r="K8" s="241"/>
      <c r="L8" s="241"/>
      <c r="M8" s="238"/>
      <c r="N8" s="238"/>
      <c r="O8" s="238"/>
      <c r="P8" s="243"/>
      <c r="Q8" s="243"/>
      <c r="R8" s="243"/>
      <c r="S8" s="243"/>
      <c r="T8" s="244"/>
      <c r="U8" s="244"/>
      <c r="V8" s="242"/>
      <c r="W8" s="242"/>
      <c r="X8" s="242"/>
      <c r="Y8" s="242"/>
      <c r="Z8" s="242"/>
      <c r="AA8" s="257"/>
      <c r="AB8" s="257"/>
      <c r="AC8" s="257"/>
      <c r="AD8" s="257"/>
      <c r="AE8" s="245"/>
      <c r="AF8" s="245"/>
      <c r="AG8" s="245"/>
      <c r="AH8" s="245"/>
      <c r="AI8" s="232"/>
      <c r="AJ8" s="232"/>
      <c r="AK8" s="232"/>
      <c r="AL8" s="232"/>
      <c r="AM8" s="232"/>
    </row>
    <row r="9" spans="1:49" ht="15" customHeight="1" x14ac:dyDescent="0.25">
      <c r="A9" s="1"/>
      <c r="B9" s="119" t="s">
        <v>49</v>
      </c>
      <c r="C9" s="119" t="s">
        <v>74</v>
      </c>
      <c r="D9" s="119" t="s">
        <v>51</v>
      </c>
      <c r="E9" s="119" t="s">
        <v>52</v>
      </c>
      <c r="F9" s="119" t="s">
        <v>53</v>
      </c>
      <c r="G9" s="120" t="s">
        <v>54</v>
      </c>
      <c r="H9" s="120" t="s">
        <v>75</v>
      </c>
      <c r="I9" s="121" t="s">
        <v>56</v>
      </c>
      <c r="J9" s="121" t="s">
        <v>57</v>
      </c>
      <c r="K9" s="121" t="s">
        <v>58</v>
      </c>
      <c r="L9" s="121" t="s">
        <v>59</v>
      </c>
      <c r="M9" s="122" t="s">
        <v>60</v>
      </c>
      <c r="N9" s="122" t="s">
        <v>76</v>
      </c>
      <c r="O9" s="122" t="s">
        <v>77</v>
      </c>
      <c r="P9" s="137" t="s">
        <v>56</v>
      </c>
      <c r="Q9" s="137" t="s">
        <v>57</v>
      </c>
      <c r="R9" s="137" t="s">
        <v>58</v>
      </c>
      <c r="S9" s="137" t="s">
        <v>59</v>
      </c>
      <c r="T9" s="138" t="s">
        <v>63</v>
      </c>
      <c r="U9" s="138" t="s">
        <v>64</v>
      </c>
      <c r="V9" s="139" t="s">
        <v>65</v>
      </c>
      <c r="W9" s="139" t="s">
        <v>66</v>
      </c>
      <c r="X9" s="139" t="s">
        <v>67</v>
      </c>
      <c r="Y9" s="139" t="s">
        <v>68</v>
      </c>
      <c r="Z9" s="139" t="s">
        <v>69</v>
      </c>
      <c r="AA9" s="123" t="s">
        <v>70</v>
      </c>
      <c r="AB9" s="123" t="s">
        <v>71</v>
      </c>
      <c r="AC9" s="123" t="s">
        <v>72</v>
      </c>
      <c r="AD9" s="123" t="s">
        <v>73</v>
      </c>
      <c r="AE9" s="124" t="s">
        <v>56</v>
      </c>
      <c r="AF9" s="124" t="s">
        <v>57</v>
      </c>
      <c r="AG9" s="124" t="s">
        <v>58</v>
      </c>
      <c r="AH9" s="124" t="s">
        <v>59</v>
      </c>
      <c r="AI9" s="186" t="str">
        <f>IF(COUNTA(F16:I16)=0,"NBC","BC")</f>
        <v>BC</v>
      </c>
      <c r="AJ9" s="186" t="s">
        <v>56</v>
      </c>
      <c r="AK9" s="186" t="s">
        <v>57</v>
      </c>
      <c r="AL9" s="186" t="s">
        <v>58</v>
      </c>
      <c r="AM9" s="186" t="s">
        <v>59</v>
      </c>
    </row>
    <row r="10" spans="1:49" ht="47.25" customHeight="1" x14ac:dyDescent="0.3">
      <c r="A10" s="1">
        <v>1</v>
      </c>
      <c r="B10" s="168" t="s">
        <v>11</v>
      </c>
      <c r="C10" s="115" t="s">
        <v>78</v>
      </c>
      <c r="D10" s="169" t="s">
        <v>79</v>
      </c>
      <c r="E10" s="181" t="s">
        <v>80</v>
      </c>
      <c r="F10" s="180">
        <v>0.01</v>
      </c>
      <c r="G10" s="172" t="str">
        <f>Estratégia!F10</f>
        <v>Parcial</v>
      </c>
      <c r="H10" s="173">
        <f>Estratégia!G10</f>
        <v>4.0000000000000001E-3</v>
      </c>
      <c r="I10" s="140">
        <f>Estratégia!H10</f>
        <v>3</v>
      </c>
      <c r="J10" s="140" t="str">
        <f>Estratégia!I10</f>
        <v/>
      </c>
      <c r="K10" s="140" t="str">
        <f>Estratégia!J10</f>
        <v/>
      </c>
      <c r="L10" s="140" t="str">
        <f>Estratégia!K10</f>
        <v/>
      </c>
      <c r="M10" s="172" t="str">
        <f>Estratégia!L10</f>
        <v>Mais que Cumpre</v>
      </c>
      <c r="N10" s="174">
        <f>Estratégia!M10</f>
        <v>8.5000000000000006E-3</v>
      </c>
      <c r="O10" s="175">
        <f>Estratégia!N10</f>
        <v>0.47058823529411764</v>
      </c>
      <c r="P10" s="140" t="str">
        <f>Estratégia!O10</f>
        <v>-</v>
      </c>
      <c r="Q10" s="140" t="str">
        <f>Estratégia!P10</f>
        <v>D</v>
      </c>
      <c r="R10" s="140" t="str">
        <f>Estratégia!Q10</f>
        <v>-</v>
      </c>
      <c r="S10" s="140" t="str">
        <f>Estratégia!R10</f>
        <v>D</v>
      </c>
      <c r="T10" s="176" t="str">
        <f>Estratégia!S10</f>
        <v/>
      </c>
      <c r="U10" s="177" t="str">
        <f>Estratégia!T10</f>
        <v/>
      </c>
      <c r="V10" s="142" t="str">
        <f>IF(Estratégia!U10=0.5,"",Estratégia!U10)</f>
        <v/>
      </c>
      <c r="W10" s="142" t="str">
        <f>IF(Estratégia!V10=0.5,"",Estratégia!V10)</f>
        <v/>
      </c>
      <c r="X10" s="142" t="str">
        <f>IF(Estratégia!W10=0.5,"",Estratégia!W10)</f>
        <v/>
      </c>
      <c r="Y10" s="142" t="str">
        <f>IF(Estratégia!X10=0.5,"",Estratégia!X10)</f>
        <v/>
      </c>
      <c r="Z10" s="142" t="str">
        <f>IF(Estratégia!Y10=0.5,"",Estratégia!Y10)</f>
        <v/>
      </c>
      <c r="AA10" s="178" t="str">
        <f ca="1">Estratégia!Z10</f>
        <v>No Planificado</v>
      </c>
      <c r="AB10" s="172" t="str">
        <f>Estratégia!AA10</f>
        <v>Melhor Prática</v>
      </c>
      <c r="AC10" s="174">
        <f>Estratégia!AB10</f>
        <v>0.01</v>
      </c>
      <c r="AD10" s="175">
        <f>Estratégia!AC10</f>
        <v>1.1764705882352942</v>
      </c>
      <c r="AE10" s="140">
        <f>Estratégia!AD10</f>
        <v>3</v>
      </c>
      <c r="AF10" s="140">
        <f>Estratégia!AE10</f>
        <v>3</v>
      </c>
      <c r="AG10" s="140">
        <f>Estratégia!AF10</f>
        <v>3</v>
      </c>
      <c r="AH10" s="140">
        <f>Estratégia!AG10</f>
        <v>3</v>
      </c>
      <c r="AI10" s="187" t="str">
        <f>IF('Estrategia 1'!E16=0,"",'Estrategia 1'!E16)</f>
        <v>BC</v>
      </c>
      <c r="AJ10" s="187" t="str">
        <f>IF('Estrategia 1'!F15=0,"",'Estrategia 1'!F15)</f>
        <v/>
      </c>
      <c r="AK10" s="187" t="str">
        <f>IF('Estrategia 1'!G15=0,"",'Estrategia 1'!G15)</f>
        <v/>
      </c>
      <c r="AL10" s="187" t="str">
        <f>IF('Estrategia 1'!H15=0,"",'Estrategia 1'!H15)</f>
        <v/>
      </c>
      <c r="AM10" s="187" t="str">
        <f>IF('Estrategia 1'!I15=0,"",'Estrategia 1'!I15)</f>
        <v/>
      </c>
      <c r="AN10" s="98">
        <f t="shared" ref="AN10:AN41" si="0">IF(AB10&lt;&gt;"",SUM(AC10-H10),0)</f>
        <v>6.0000000000000001E-3</v>
      </c>
      <c r="AO10" s="98">
        <f t="shared" ref="AO10:AO41" si="1">N10-H10</f>
        <v>4.5000000000000005E-3</v>
      </c>
      <c r="AQ10" s="184" t="b">
        <f>IF(SUM($AE10:$AH10)=0,TRUE(),IF(OR(AE10="",AE10=1,AE10=2),0,AE10)&gt;=IF(OR(I10="",I10=1,I10=2),0,I10))</f>
        <v>1</v>
      </c>
      <c r="AR10" s="184" t="b">
        <f t="shared" ref="AR10:AT25" si="2">IF(SUM($AE10:$AH10)=0,TRUE(),IF(OR(AF10="",AF10=1,AF10=2),0,AF10)&gt;=IF(OR(J10="",J10=1,J10=2),0,J10))</f>
        <v>1</v>
      </c>
      <c r="AS10" s="184" t="b">
        <f t="shared" si="2"/>
        <v>1</v>
      </c>
      <c r="AT10" s="184" t="b">
        <f t="shared" si="2"/>
        <v>1</v>
      </c>
      <c r="AU10" s="188" t="str">
        <f>D10</f>
        <v>1.</v>
      </c>
      <c r="AV10" s="184" t="str">
        <f>E10</f>
        <v>Missão e visão</v>
      </c>
      <c r="AW10" s="189">
        <f>IF(AB10="",H10,AC10)</f>
        <v>0.01</v>
      </c>
    </row>
    <row r="11" spans="1:49" ht="45.75" customHeight="1" x14ac:dyDescent="0.3">
      <c r="A11" s="1">
        <v>2</v>
      </c>
      <c r="B11" s="168" t="s">
        <v>11</v>
      </c>
      <c r="C11" s="115" t="s">
        <v>78</v>
      </c>
      <c r="D11" s="179" t="s">
        <v>81</v>
      </c>
      <c r="E11" s="170" t="s">
        <v>82</v>
      </c>
      <c r="F11" s="171">
        <v>0.01</v>
      </c>
      <c r="G11" s="172" t="str">
        <f>Estratégia!F11</f>
        <v>Melhor Prática</v>
      </c>
      <c r="H11" s="173">
        <f>Estratégia!G11</f>
        <v>0.01</v>
      </c>
      <c r="I11" s="140">
        <f>Estratégia!H11</f>
        <v>3</v>
      </c>
      <c r="J11" s="140">
        <f>Estratégia!I11</f>
        <v>3</v>
      </c>
      <c r="K11" s="140">
        <f>Estratégia!J11</f>
        <v>3</v>
      </c>
      <c r="L11" s="140">
        <f>Estratégia!K11</f>
        <v>3</v>
      </c>
      <c r="M11" s="172" t="str">
        <f>Estratégia!L11</f>
        <v>Melhor Prática</v>
      </c>
      <c r="N11" s="174">
        <f>Estratégia!M11</f>
        <v>0.01</v>
      </c>
      <c r="O11" s="175">
        <f>Estratégia!N11</f>
        <v>1</v>
      </c>
      <c r="P11" s="140" t="str">
        <f>Estratégia!O11</f>
        <v>-</v>
      </c>
      <c r="Q11" s="140" t="str">
        <f>Estratégia!P11</f>
        <v>-</v>
      </c>
      <c r="R11" s="140" t="str">
        <f>Estratégia!Q11</f>
        <v>-</v>
      </c>
      <c r="S11" s="140" t="str">
        <f>Estratégia!R11</f>
        <v>-</v>
      </c>
      <c r="T11" s="143">
        <f>Estratégia!S11</f>
        <v>1</v>
      </c>
      <c r="U11" s="177" t="str">
        <f>Estratégia!T11</f>
        <v>No Planificado</v>
      </c>
      <c r="V11" s="142" t="str">
        <f>IF(Estratégia!U11=0.5,"",Estratégia!U11)</f>
        <v/>
      </c>
      <c r="W11" s="142" t="str">
        <f>IF(Estratégia!V11=0.5,"",Estratégia!V11)</f>
        <v/>
      </c>
      <c r="X11" s="142" t="str">
        <f>IF(Estratégia!W11=0.5,"",Estratégia!W11)</f>
        <v/>
      </c>
      <c r="Y11" s="142" t="str">
        <f>IF(Estratégia!X11=0.5,"",Estratégia!X11)</f>
        <v/>
      </c>
      <c r="Z11" s="142" t="str">
        <f>IF(Estratégia!Y11=0.5,"",Estratégia!Y11)</f>
        <v/>
      </c>
      <c r="AA11" s="178" t="str">
        <f ca="1">Estratégia!Z11</f>
        <v>A Tiempo</v>
      </c>
      <c r="AB11" s="172" t="str">
        <f>Estratégia!AA11</f>
        <v/>
      </c>
      <c r="AC11" s="174">
        <f>Estratégia!AB11</f>
        <v>0</v>
      </c>
      <c r="AD11" s="175">
        <f>Estratégia!AC11</f>
        <v>0</v>
      </c>
      <c r="AE11" s="140" t="str">
        <f>Estratégia!AD11</f>
        <v/>
      </c>
      <c r="AF11" s="140" t="str">
        <f>Estratégia!AE11</f>
        <v/>
      </c>
      <c r="AG11" s="140" t="str">
        <f>Estratégia!AF11</f>
        <v/>
      </c>
      <c r="AH11" s="140" t="str">
        <f>Estratégia!AG11</f>
        <v/>
      </c>
      <c r="AI11" s="187" t="str">
        <f>IF('Estrategia 2'!E16=0,"",'Estrategia 2'!E16)</f>
        <v>BC</v>
      </c>
      <c r="AJ11" s="187" t="str">
        <f>IF('Estrategia 2'!F16=0,"",'Estrategia 2'!F16)</f>
        <v>X</v>
      </c>
      <c r="AK11" s="187" t="str">
        <f>IF('Estrategia 2'!G16=0,"",'Estrategia 2'!G16)</f>
        <v>X</v>
      </c>
      <c r="AL11" s="187" t="str">
        <f>IF('Estrategia 2'!H16=0,"",'Estrategia 2'!H16)</f>
        <v>X</v>
      </c>
      <c r="AM11" s="187" t="str">
        <f>IF('Estrategia 2'!I16=0,"",'Estrategia 2'!I16)</f>
        <v>X</v>
      </c>
      <c r="AN11" s="98">
        <f t="shared" si="0"/>
        <v>0</v>
      </c>
      <c r="AO11" s="98">
        <f t="shared" si="1"/>
        <v>0</v>
      </c>
      <c r="AQ11" s="184" t="b">
        <f t="shared" ref="AQ11:AT73" si="3">IF(SUM($AE11:$AH11)=0,TRUE(),IF(OR(AE11="",AE11=1,AE11=2),0,AE11)&gt;=IF(OR(I11="",I11=1,I11=2),0,I11))</f>
        <v>1</v>
      </c>
      <c r="AR11" s="184" t="b">
        <f t="shared" si="2"/>
        <v>1</v>
      </c>
      <c r="AS11" s="184" t="b">
        <f t="shared" si="2"/>
        <v>1</v>
      </c>
      <c r="AT11" s="184" t="b">
        <f t="shared" si="2"/>
        <v>1</v>
      </c>
      <c r="AU11" s="188" t="str">
        <f t="shared" ref="AU11:AU73" si="4">D11</f>
        <v>2.</v>
      </c>
      <c r="AV11" s="184" t="str">
        <f t="shared" ref="AV11:AV73" si="5">E11</f>
        <v>Catálogo de equipamentos</v>
      </c>
      <c r="AW11" s="189">
        <f t="shared" ref="AW11:AW73" si="6">IF(AB11="",H11,AC11)</f>
        <v>0.01</v>
      </c>
    </row>
    <row r="12" spans="1:49" ht="45.75" customHeight="1" x14ac:dyDescent="0.3">
      <c r="A12" s="1">
        <v>3</v>
      </c>
      <c r="B12" s="168" t="s">
        <v>11</v>
      </c>
      <c r="C12" s="115" t="s">
        <v>78</v>
      </c>
      <c r="D12" s="179" t="s">
        <v>83</v>
      </c>
      <c r="E12" s="181" t="s">
        <v>84</v>
      </c>
      <c r="F12" s="180">
        <v>0.01</v>
      </c>
      <c r="G12" s="172" t="str">
        <f>Estratégia!F12</f>
        <v>Parcial</v>
      </c>
      <c r="H12" s="173">
        <f>Estratégia!G12</f>
        <v>4.0000000000000001E-3</v>
      </c>
      <c r="I12" s="140">
        <f>Estratégia!H12</f>
        <v>3</v>
      </c>
      <c r="J12" s="140">
        <f>Estratégia!I12</f>
        <v>2</v>
      </c>
      <c r="K12" s="140">
        <f>Estratégia!J12</f>
        <v>2</v>
      </c>
      <c r="L12" s="140" t="str">
        <f>Estratégia!K12</f>
        <v/>
      </c>
      <c r="M12" s="172" t="str">
        <f>Estratégia!L12</f>
        <v>Mais que Cumpre</v>
      </c>
      <c r="N12" s="174">
        <f>Estratégia!M12</f>
        <v>8.5000000000000006E-3</v>
      </c>
      <c r="O12" s="175">
        <f>Estratégia!N12</f>
        <v>0.47058823529411764</v>
      </c>
      <c r="P12" s="140" t="str">
        <f>Estratégia!O12</f>
        <v>-</v>
      </c>
      <c r="Q12" s="140" t="str">
        <f>Estratégia!P12</f>
        <v>-</v>
      </c>
      <c r="R12" s="140" t="str">
        <f>Estratégia!Q12</f>
        <v>-</v>
      </c>
      <c r="S12" s="140" t="str">
        <f>Estratégia!R12</f>
        <v>D</v>
      </c>
      <c r="T12" s="143">
        <f>Estratégia!S12</f>
        <v>3</v>
      </c>
      <c r="U12" s="177" t="str">
        <f>Estratégia!T12</f>
        <v>Alta</v>
      </c>
      <c r="V12" s="142" t="str">
        <f>IF(Estratégia!U12=0.5,"",Estratégia!U12)</f>
        <v/>
      </c>
      <c r="W12" s="142" t="str">
        <f>IF(Estratégia!V12=0.5,"",Estratégia!V12)</f>
        <v/>
      </c>
      <c r="X12" s="142">
        <f>IF(Estratégia!W12=0.5,"",Estratégia!W12)</f>
        <v>1</v>
      </c>
      <c r="Y12" s="142">
        <f>IF(Estratégia!X12=0.5,"",Estratégia!X12)</f>
        <v>1</v>
      </c>
      <c r="Z12" s="142">
        <f>IF(Estratégia!Y12=0.5,"",Estratégia!Y12)</f>
        <v>1</v>
      </c>
      <c r="AA12" s="178" t="str">
        <f ca="1">Estratégia!Z12</f>
        <v>A Tiempo</v>
      </c>
      <c r="AB12" s="172" t="str">
        <f>Estratégia!AA12</f>
        <v>Mais que cumpre</v>
      </c>
      <c r="AC12" s="174">
        <f>Estratégia!AB12</f>
        <v>8.5000000000000006E-3</v>
      </c>
      <c r="AD12" s="175">
        <f>Estratégia!AC12</f>
        <v>1</v>
      </c>
      <c r="AE12" s="140">
        <f>Estratégia!AD12</f>
        <v>3</v>
      </c>
      <c r="AF12" s="140">
        <f>Estratégia!AE12</f>
        <v>3</v>
      </c>
      <c r="AG12" s="140">
        <f>Estratégia!AF12</f>
        <v>3</v>
      </c>
      <c r="AH12" s="140" t="str">
        <f>Estratégia!AG12</f>
        <v/>
      </c>
      <c r="AI12" s="187" t="str">
        <f>IF('Estrategia 3'!E16=0,"",'Estrategia 3'!E16)</f>
        <v>BC</v>
      </c>
      <c r="AJ12" s="187" t="str">
        <f>IF('Estrategia 3'!F16=0,"",'Estrategia 3'!F16)</f>
        <v/>
      </c>
      <c r="AK12" s="187" t="str">
        <f>IF('Estrategia 3'!G16=0,"",'Estrategia 3'!G16)</f>
        <v>X</v>
      </c>
      <c r="AL12" s="187" t="str">
        <f>IF('Estrategia 3'!H16=0,"",'Estrategia 3'!H16)</f>
        <v/>
      </c>
      <c r="AM12" s="187" t="str">
        <f>IF('Estrategia 3'!I16=0,"",'Estrategia 3'!I16)</f>
        <v>x</v>
      </c>
      <c r="AN12" s="98">
        <f t="shared" si="0"/>
        <v>4.5000000000000005E-3</v>
      </c>
      <c r="AO12" s="98">
        <f t="shared" si="1"/>
        <v>4.5000000000000005E-3</v>
      </c>
      <c r="AQ12" s="184" t="b">
        <f t="shared" si="3"/>
        <v>1</v>
      </c>
      <c r="AR12" s="184" t="b">
        <f t="shared" si="2"/>
        <v>1</v>
      </c>
      <c r="AS12" s="184" t="b">
        <f t="shared" si="2"/>
        <v>1</v>
      </c>
      <c r="AT12" s="184" t="b">
        <f t="shared" si="2"/>
        <v>1</v>
      </c>
      <c r="AU12" s="188" t="str">
        <f t="shared" si="4"/>
        <v>3.</v>
      </c>
      <c r="AV12" s="184" t="str">
        <f t="shared" si="5"/>
        <v>Fotografía de sucesso</v>
      </c>
      <c r="AW12" s="189">
        <f t="shared" si="6"/>
        <v>8.5000000000000006E-3</v>
      </c>
    </row>
    <row r="13" spans="1:49" ht="45.75" customHeight="1" x14ac:dyDescent="0.3">
      <c r="A13" s="1">
        <v>4</v>
      </c>
      <c r="B13" s="168" t="s">
        <v>11</v>
      </c>
      <c r="C13" s="115" t="s">
        <v>78</v>
      </c>
      <c r="D13" s="179" t="s">
        <v>85</v>
      </c>
      <c r="E13" s="170" t="s">
        <v>86</v>
      </c>
      <c r="F13" s="171">
        <v>0.02</v>
      </c>
      <c r="G13" s="172" t="str">
        <f>Estratégia!F13</f>
        <v>Parcial</v>
      </c>
      <c r="H13" s="173">
        <f>Estratégia!G13</f>
        <v>8.0000000000000002E-3</v>
      </c>
      <c r="I13" s="140">
        <f>Estratégia!H13</f>
        <v>3</v>
      </c>
      <c r="J13" s="140">
        <f>Estratégia!I13</f>
        <v>1</v>
      </c>
      <c r="K13" s="140" t="str">
        <f>Estratégia!J13</f>
        <v/>
      </c>
      <c r="L13" s="140" t="str">
        <f>Estratégia!K13</f>
        <v/>
      </c>
      <c r="M13" s="172" t="str">
        <f>Estratégia!L13</f>
        <v>Melhor Prática</v>
      </c>
      <c r="N13" s="174">
        <f>Estratégia!M13</f>
        <v>0.02</v>
      </c>
      <c r="O13" s="175">
        <f>Estratégia!N13</f>
        <v>0.4</v>
      </c>
      <c r="P13" s="140" t="str">
        <f>Estratégia!O13</f>
        <v>-</v>
      </c>
      <c r="Q13" s="140" t="str">
        <f>Estratégia!P13</f>
        <v>D</v>
      </c>
      <c r="R13" s="140" t="str">
        <f>Estratégia!Q13</f>
        <v>-</v>
      </c>
      <c r="S13" s="140" t="str">
        <f>Estratégia!R13</f>
        <v>D</v>
      </c>
      <c r="T13" s="143">
        <f>Estratégia!S13</f>
        <v>3</v>
      </c>
      <c r="U13" s="177" t="str">
        <f>Estratégia!T13</f>
        <v>Alta</v>
      </c>
      <c r="V13" s="142" t="str">
        <f>IF(Estratégia!U13=0.5,"",Estratégia!U13)</f>
        <v/>
      </c>
      <c r="W13" s="142" t="str">
        <f>IF(Estratégia!V13=0.5,"",Estratégia!V13)</f>
        <v/>
      </c>
      <c r="X13" s="142" t="str">
        <f>IF(Estratégia!W13=0.5,"",Estratégia!W13)</f>
        <v/>
      </c>
      <c r="Y13" s="142" t="str">
        <f>IF(Estratégia!X13=0.5,"",Estratégia!X13)</f>
        <v/>
      </c>
      <c r="Z13" s="142" t="str">
        <f>IF(Estratégia!Y13=0.5,"",Estratégia!Y13)</f>
        <v/>
      </c>
      <c r="AA13" s="178" t="str">
        <f ca="1">Estratégia!Z13</f>
        <v>A Tiempo</v>
      </c>
      <c r="AB13" s="172" t="str">
        <f>Estratégia!AA13</f>
        <v>Cumpre</v>
      </c>
      <c r="AC13" s="174">
        <f>Estratégia!AB13</f>
        <v>1.3999999999999999E-2</v>
      </c>
      <c r="AD13" s="175">
        <f>Estratégia!AC13</f>
        <v>0.7</v>
      </c>
      <c r="AE13" s="140">
        <f>Estratégia!AD13</f>
        <v>3</v>
      </c>
      <c r="AF13" s="140">
        <f>Estratégia!AE13</f>
        <v>3</v>
      </c>
      <c r="AG13" s="140">
        <f>Estratégia!AF13</f>
        <v>2</v>
      </c>
      <c r="AH13" s="140">
        <f>Estratégia!AG13</f>
        <v>1</v>
      </c>
      <c r="AI13" s="187" t="str">
        <f>IF('Estrategia 4'!E16=0,"",'Estrategia 4'!E16)</f>
        <v>BC</v>
      </c>
      <c r="AJ13" s="187" t="str">
        <f>IF('Estrategia 4'!F16=0,"",'Estrategia 4'!F16)</f>
        <v/>
      </c>
      <c r="AK13" s="187" t="str">
        <f>IF('Estrategia 4'!G16=0,"",'Estrategia 4'!G16)</f>
        <v>x</v>
      </c>
      <c r="AL13" s="187" t="str">
        <f>IF('Estrategia 4'!H16=0,"",'Estrategia 4'!H16)</f>
        <v/>
      </c>
      <c r="AM13" s="187" t="str">
        <f>IF('Estrategia 4'!I16=0,"",'Estrategia 4'!I16)</f>
        <v/>
      </c>
      <c r="AN13" s="98">
        <f t="shared" si="0"/>
        <v>5.9999999999999984E-3</v>
      </c>
      <c r="AO13" s="98">
        <f t="shared" si="1"/>
        <v>1.2E-2</v>
      </c>
      <c r="AQ13" s="184" t="b">
        <f t="shared" si="3"/>
        <v>1</v>
      </c>
      <c r="AR13" s="184" t="b">
        <f t="shared" si="2"/>
        <v>1</v>
      </c>
      <c r="AS13" s="184" t="b">
        <f t="shared" si="2"/>
        <v>1</v>
      </c>
      <c r="AT13" s="184" t="b">
        <f t="shared" si="2"/>
        <v>1</v>
      </c>
      <c r="AU13" s="188" t="str">
        <f t="shared" si="4"/>
        <v>4.</v>
      </c>
      <c r="AV13" s="184" t="str">
        <f t="shared" si="5"/>
        <v>Planograma</v>
      </c>
      <c r="AW13" s="189">
        <f t="shared" si="6"/>
        <v>1.3999999999999999E-2</v>
      </c>
    </row>
    <row r="14" spans="1:49" ht="45.75" customHeight="1" x14ac:dyDescent="0.3">
      <c r="A14" s="1">
        <v>5</v>
      </c>
      <c r="B14" s="168" t="s">
        <v>11</v>
      </c>
      <c r="C14" s="115" t="s">
        <v>87</v>
      </c>
      <c r="D14" s="179" t="s">
        <v>88</v>
      </c>
      <c r="E14" s="181" t="s">
        <v>89</v>
      </c>
      <c r="F14" s="180">
        <v>1.4999999999999999E-2</v>
      </c>
      <c r="G14" s="172" t="str">
        <f>Estratégia!F14</f>
        <v>Cumpre</v>
      </c>
      <c r="H14" s="173">
        <f>Estratégia!G14</f>
        <v>1.0499999999999999E-2</v>
      </c>
      <c r="I14" s="140">
        <f>Estratégia!H14</f>
        <v>3</v>
      </c>
      <c r="J14" s="140">
        <f>Estratégia!I14</f>
        <v>3</v>
      </c>
      <c r="K14" s="140">
        <f>Estratégia!J14</f>
        <v>2</v>
      </c>
      <c r="L14" s="140">
        <f>Estratégia!K14</f>
        <v>3</v>
      </c>
      <c r="M14" s="172" t="str">
        <f>Estratégia!L14</f>
        <v>Melhor Prática</v>
      </c>
      <c r="N14" s="174">
        <f>Estratégia!M14</f>
        <v>1.4999999999999999E-2</v>
      </c>
      <c r="O14" s="175">
        <f>Estratégia!N14</f>
        <v>0.7</v>
      </c>
      <c r="P14" s="140" t="str">
        <f>Estratégia!O14</f>
        <v>-</v>
      </c>
      <c r="Q14" s="140" t="str">
        <f>Estratégia!P14</f>
        <v>D</v>
      </c>
      <c r="R14" s="140" t="str">
        <f>Estratégia!Q14</f>
        <v>-</v>
      </c>
      <c r="S14" s="140" t="str">
        <f>Estratégia!R14</f>
        <v>-</v>
      </c>
      <c r="T14" s="143">
        <f>Estratégia!S14</f>
        <v>2</v>
      </c>
      <c r="U14" s="177" t="str">
        <f>Estratégia!T14</f>
        <v>No Planificado</v>
      </c>
      <c r="V14" s="142" t="str">
        <f>IF(Estratégia!U14=0.5,"",Estratégia!U14)</f>
        <v/>
      </c>
      <c r="W14" s="142" t="str">
        <f>IF(Estratégia!V14=0.5,"",Estratégia!V14)</f>
        <v/>
      </c>
      <c r="X14" s="142" t="str">
        <f>IF(Estratégia!W14=0.5,"",Estratégia!W14)</f>
        <v/>
      </c>
      <c r="Y14" s="142" t="str">
        <f>IF(Estratégia!X14=0.5,"",Estratégia!X14)</f>
        <v/>
      </c>
      <c r="Z14" s="142" t="str">
        <f>IF(Estratégia!Y14=0.5,"",Estratégia!Y14)</f>
        <v/>
      </c>
      <c r="AA14" s="178" t="str">
        <f ca="1">Estratégia!Z14</f>
        <v>Retrasado</v>
      </c>
      <c r="AB14" s="172" t="str">
        <f>Estratégia!AA14</f>
        <v>Melhor Prática</v>
      </c>
      <c r="AC14" s="174">
        <f>Estratégia!AB14</f>
        <v>1.4999999999999999E-2</v>
      </c>
      <c r="AD14" s="175">
        <f>Estratégia!AC14</f>
        <v>1</v>
      </c>
      <c r="AE14" s="140">
        <f>Estratégia!AD14</f>
        <v>3</v>
      </c>
      <c r="AF14" s="140">
        <f>Estratégia!AE14</f>
        <v>3</v>
      </c>
      <c r="AG14" s="140">
        <f>Estratégia!AF14</f>
        <v>3</v>
      </c>
      <c r="AH14" s="140">
        <f>Estratégia!AG14</f>
        <v>3</v>
      </c>
      <c r="AI14" s="187" t="str">
        <f>IF('Estrategia 5'!E16=0,"",'Estrategia 5'!E16)</f>
        <v>BC</v>
      </c>
      <c r="AJ14" s="187" t="str">
        <f>IF('Estrategia 5'!F16=0,"",'Estrategia 5'!F16)</f>
        <v/>
      </c>
      <c r="AK14" s="187" t="str">
        <f>IF('Estrategia 5'!G16=0,"",'Estrategia 5'!G16)</f>
        <v/>
      </c>
      <c r="AL14" s="187" t="str">
        <f>IF('Estrategia 5'!H16=0,"",'Estrategia 5'!H16)</f>
        <v/>
      </c>
      <c r="AM14" s="187" t="str">
        <f>IF('Estrategia 5'!I16=0,"",'Estrategia 5'!I16)</f>
        <v>x</v>
      </c>
      <c r="AN14" s="98">
        <f t="shared" si="0"/>
        <v>4.5000000000000005E-3</v>
      </c>
      <c r="AO14" s="98">
        <f t="shared" si="1"/>
        <v>4.5000000000000005E-3</v>
      </c>
      <c r="AQ14" s="184" t="b">
        <f t="shared" si="3"/>
        <v>1</v>
      </c>
      <c r="AR14" s="184" t="b">
        <f t="shared" si="2"/>
        <v>1</v>
      </c>
      <c r="AS14" s="184" t="b">
        <f t="shared" si="2"/>
        <v>1</v>
      </c>
      <c r="AT14" s="184" t="b">
        <f t="shared" si="2"/>
        <v>1</v>
      </c>
      <c r="AU14" s="188" t="str">
        <f t="shared" si="4"/>
        <v>5.</v>
      </c>
      <c r="AV14" s="184" t="str">
        <f t="shared" si="5"/>
        <v>Planejamento para o full potential</v>
      </c>
      <c r="AW14" s="189">
        <f t="shared" si="6"/>
        <v>1.4999999999999999E-2</v>
      </c>
    </row>
    <row r="15" spans="1:49" ht="45.75" customHeight="1" x14ac:dyDescent="0.3">
      <c r="A15" s="1">
        <v>6</v>
      </c>
      <c r="B15" s="168" t="s">
        <v>11</v>
      </c>
      <c r="C15" s="115" t="s">
        <v>87</v>
      </c>
      <c r="D15" s="179" t="s">
        <v>90</v>
      </c>
      <c r="E15" s="170" t="s">
        <v>91</v>
      </c>
      <c r="F15" s="171">
        <v>1.4999999999999999E-2</v>
      </c>
      <c r="G15" s="172" t="str">
        <f>Estratégia!F15</f>
        <v>Cumpre</v>
      </c>
      <c r="H15" s="173">
        <f>Estratégia!G15</f>
        <v>1.0499999999999999E-2</v>
      </c>
      <c r="I15" s="140">
        <f>Estratégia!H15</f>
        <v>3</v>
      </c>
      <c r="J15" s="140">
        <f>Estratégia!I15</f>
        <v>3</v>
      </c>
      <c r="K15" s="140">
        <f>Estratégia!J15</f>
        <v>1</v>
      </c>
      <c r="L15" s="140" t="str">
        <f>Estratégia!K15</f>
        <v/>
      </c>
      <c r="M15" s="172" t="str">
        <f>Estratégia!L15</f>
        <v>Cumpre</v>
      </c>
      <c r="N15" s="174">
        <f>Estratégia!M15</f>
        <v>1.0499999999999999E-2</v>
      </c>
      <c r="O15" s="175">
        <f>Estratégia!N15</f>
        <v>1</v>
      </c>
      <c r="P15" s="140" t="str">
        <f>Estratégia!O15</f>
        <v>-</v>
      </c>
      <c r="Q15" s="140" t="str">
        <f>Estratégia!P15</f>
        <v>D</v>
      </c>
      <c r="R15" s="140" t="str">
        <f>Estratégia!Q15</f>
        <v>-</v>
      </c>
      <c r="S15" s="140" t="str">
        <f>Estratégia!R15</f>
        <v>-</v>
      </c>
      <c r="T15" s="143">
        <f>Estratégia!S15</f>
        <v>1</v>
      </c>
      <c r="U15" s="177" t="str">
        <f>Estratégia!T15</f>
        <v>No Planificado</v>
      </c>
      <c r="V15" s="142" t="str">
        <f>IF(Estratégia!U15=0.5,"",Estratégia!U15)</f>
        <v/>
      </c>
      <c r="W15" s="142" t="str">
        <f>IF(Estratégia!V15=0.5,"",Estratégia!V15)</f>
        <v/>
      </c>
      <c r="X15" s="142" t="str">
        <f>IF(Estratégia!W15=0.5,"",Estratégia!W15)</f>
        <v/>
      </c>
      <c r="Y15" s="142" t="str">
        <f>IF(Estratégia!X15=0.5,"",Estratégia!X15)</f>
        <v/>
      </c>
      <c r="Z15" s="142" t="str">
        <f>IF(Estratégia!Y15=0.5,"",Estratégia!Y15)</f>
        <v/>
      </c>
      <c r="AA15" s="178" t="str">
        <f ca="1">Estratégia!Z15</f>
        <v>A Tiempo</v>
      </c>
      <c r="AB15" s="172" t="str">
        <f>Estratégia!AA15</f>
        <v>Cumpre</v>
      </c>
      <c r="AC15" s="174">
        <f>Estratégia!AB15</f>
        <v>1.0499999999999999E-2</v>
      </c>
      <c r="AD15" s="175">
        <f>Estratégia!AC15</f>
        <v>1</v>
      </c>
      <c r="AE15" s="140">
        <f>Estratégia!AD15</f>
        <v>3</v>
      </c>
      <c r="AF15" s="140">
        <f>Estratégia!AE15</f>
        <v>3</v>
      </c>
      <c r="AG15" s="140" t="str">
        <f>Estratégia!AF15</f>
        <v/>
      </c>
      <c r="AH15" s="140" t="str">
        <f>Estratégia!AG15</f>
        <v/>
      </c>
      <c r="AI15" s="187" t="str">
        <f>IF('Estrategia 6'!E16=0,"",'Estrategia 6'!E16)</f>
        <v>NBC</v>
      </c>
      <c r="AJ15" s="187" t="str">
        <f>IF('Estrategia 6'!F16=0,"",'Estrategia 6'!F16)</f>
        <v/>
      </c>
      <c r="AK15" s="187" t="str">
        <f>IF('Estrategia 6'!G16=0,"",'Estrategia 6'!G16)</f>
        <v/>
      </c>
      <c r="AL15" s="187" t="str">
        <f>IF('Estrategia 6'!H16=0,"",'Estrategia 6'!H16)</f>
        <v/>
      </c>
      <c r="AM15" s="187" t="str">
        <f>IF('Estrategia 6'!I16=0,"",'Estrategia 6'!I16)</f>
        <v/>
      </c>
      <c r="AN15" s="98">
        <f t="shared" si="0"/>
        <v>0</v>
      </c>
      <c r="AO15" s="98">
        <f t="shared" si="1"/>
        <v>0</v>
      </c>
      <c r="AQ15" s="184" t="b">
        <f t="shared" si="3"/>
        <v>1</v>
      </c>
      <c r="AR15" s="184" t="b">
        <f t="shared" si="2"/>
        <v>1</v>
      </c>
      <c r="AS15" s="184" t="b">
        <f t="shared" si="2"/>
        <v>1</v>
      </c>
      <c r="AT15" s="184" t="b">
        <f t="shared" si="2"/>
        <v>1</v>
      </c>
      <c r="AU15" s="188" t="str">
        <f t="shared" si="4"/>
        <v>6.</v>
      </c>
      <c r="AV15" s="184" t="str">
        <f t="shared" si="5"/>
        <v>Gestão P&amp;L da Área de EDF</v>
      </c>
      <c r="AW15" s="189">
        <f t="shared" si="6"/>
        <v>1.0499999999999999E-2</v>
      </c>
    </row>
    <row r="16" spans="1:49" ht="45.75" customHeight="1" x14ac:dyDescent="0.3">
      <c r="A16" s="1">
        <v>7</v>
      </c>
      <c r="B16" s="168" t="s">
        <v>11</v>
      </c>
      <c r="C16" s="115" t="s">
        <v>92</v>
      </c>
      <c r="D16" s="179" t="s">
        <v>93</v>
      </c>
      <c r="E16" s="181" t="s">
        <v>94</v>
      </c>
      <c r="F16" s="180">
        <v>0.01</v>
      </c>
      <c r="G16" s="172" t="str">
        <f>Estratégia!F16</f>
        <v>Parcial</v>
      </c>
      <c r="H16" s="173">
        <f>Estratégia!G16</f>
        <v>4.0000000000000001E-3</v>
      </c>
      <c r="I16" s="140">
        <f>Estratégia!H16</f>
        <v>3</v>
      </c>
      <c r="J16" s="140">
        <f>Estratégia!I16</f>
        <v>2</v>
      </c>
      <c r="K16" s="140" t="str">
        <f>Estratégia!J16</f>
        <v/>
      </c>
      <c r="L16" s="140" t="str">
        <f>Estratégia!K16</f>
        <v/>
      </c>
      <c r="M16" s="172" t="str">
        <f>Estratégia!L16</f>
        <v>Mais que Cumpre</v>
      </c>
      <c r="N16" s="174">
        <f>Estratégia!M16</f>
        <v>8.5000000000000006E-3</v>
      </c>
      <c r="O16" s="175">
        <f>Estratégia!N16</f>
        <v>0.47058823529411764</v>
      </c>
      <c r="P16" s="140" t="str">
        <f>Estratégia!O16</f>
        <v>D</v>
      </c>
      <c r="Q16" s="140" t="str">
        <f>Estratégia!P16</f>
        <v>-</v>
      </c>
      <c r="R16" s="140" t="str">
        <f>Estratégia!Q16</f>
        <v>D</v>
      </c>
      <c r="S16" s="140" t="str">
        <f>Estratégia!R16</f>
        <v>-</v>
      </c>
      <c r="T16" s="143">
        <f>Estratégia!S16</f>
        <v>3</v>
      </c>
      <c r="U16" s="177" t="str">
        <f>Estratégia!T16</f>
        <v>Baja</v>
      </c>
      <c r="V16" s="142" t="str">
        <f>IF(Estratégia!U16=0.5,"",Estratégia!U16)</f>
        <v/>
      </c>
      <c r="W16" s="142" t="str">
        <f>IF(Estratégia!V16=0.5,"",Estratégia!V16)</f>
        <v/>
      </c>
      <c r="X16" s="142" t="str">
        <f>IF(Estratégia!W16=0.5,"",Estratégia!W16)</f>
        <v/>
      </c>
      <c r="Y16" s="142" t="str">
        <f>IF(Estratégia!X16=0.5,"",Estratégia!X16)</f>
        <v/>
      </c>
      <c r="Z16" s="142" t="str">
        <f>IF(Estratégia!Y16=0.5,"",Estratégia!Y16)</f>
        <v/>
      </c>
      <c r="AA16" s="178" t="str">
        <f ca="1">Estratégia!Z16</f>
        <v>Retrasado</v>
      </c>
      <c r="AB16" s="172" t="str">
        <f>Estratégia!AA16</f>
        <v>Melhor Prática</v>
      </c>
      <c r="AC16" s="174">
        <f>Estratégia!AB16</f>
        <v>0.01</v>
      </c>
      <c r="AD16" s="175">
        <f>Estratégia!AC16</f>
        <v>1.1764705882352942</v>
      </c>
      <c r="AE16" s="140">
        <f>Estratégia!AD16</f>
        <v>3</v>
      </c>
      <c r="AF16" s="140">
        <f>Estratégia!AE16</f>
        <v>3</v>
      </c>
      <c r="AG16" s="140">
        <f>Estratégia!AF16</f>
        <v>3</v>
      </c>
      <c r="AH16" s="140">
        <f>Estratégia!AG16</f>
        <v>3</v>
      </c>
      <c r="AI16" s="187" t="str">
        <f>IF('Estrategia 7'!E16=0,"",'Estrategia 7'!E16)</f>
        <v>BC</v>
      </c>
      <c r="AJ16" s="187" t="str">
        <f>IF('Estrategia 7'!F16=0,"",'Estrategia 7'!F16)</f>
        <v/>
      </c>
      <c r="AK16" s="187" t="str">
        <f>IF('Estrategia 7'!G16=0,"",'Estrategia 7'!G16)</f>
        <v>X</v>
      </c>
      <c r="AL16" s="187" t="str">
        <f>IF('Estrategia 7'!H16=0,"",'Estrategia 7'!H16)</f>
        <v/>
      </c>
      <c r="AM16" s="187" t="str">
        <f>IF('Estrategia 7'!I16=0,"",'Estrategia 7'!I16)</f>
        <v/>
      </c>
      <c r="AN16" s="98">
        <f t="shared" si="0"/>
        <v>6.0000000000000001E-3</v>
      </c>
      <c r="AO16" s="98">
        <f t="shared" si="1"/>
        <v>4.5000000000000005E-3</v>
      </c>
      <c r="AQ16" s="184" t="b">
        <f t="shared" si="3"/>
        <v>1</v>
      </c>
      <c r="AR16" s="184" t="b">
        <f t="shared" si="2"/>
        <v>1</v>
      </c>
      <c r="AS16" s="184" t="b">
        <f t="shared" si="2"/>
        <v>1</v>
      </c>
      <c r="AT16" s="184" t="b">
        <f t="shared" si="2"/>
        <v>1</v>
      </c>
      <c r="AU16" s="188" t="str">
        <f t="shared" si="4"/>
        <v>7.</v>
      </c>
      <c r="AV16" s="184" t="str">
        <f t="shared" si="5"/>
        <v>Visita ao mercado</v>
      </c>
      <c r="AW16" s="189">
        <f t="shared" si="6"/>
        <v>0.01</v>
      </c>
    </row>
    <row r="17" spans="1:49" ht="45.75" customHeight="1" x14ac:dyDescent="0.3">
      <c r="A17" s="1">
        <v>8</v>
      </c>
      <c r="B17" s="168" t="s">
        <v>11</v>
      </c>
      <c r="C17" s="115" t="s">
        <v>92</v>
      </c>
      <c r="D17" s="179" t="s">
        <v>95</v>
      </c>
      <c r="E17" s="170" t="s">
        <v>96</v>
      </c>
      <c r="F17" s="171">
        <v>0.02</v>
      </c>
      <c r="G17" s="172" t="str">
        <f>Estratégia!F17</f>
        <v>Não cumpre</v>
      </c>
      <c r="H17" s="173">
        <f>Estratégia!G17</f>
        <v>0</v>
      </c>
      <c r="I17" s="140">
        <f>Estratégia!H17</f>
        <v>2</v>
      </c>
      <c r="J17" s="140" t="str">
        <f>Estratégia!I17</f>
        <v/>
      </c>
      <c r="K17" s="140" t="str">
        <f>Estratégia!J17</f>
        <v/>
      </c>
      <c r="L17" s="140" t="str">
        <f>Estratégia!K17</f>
        <v/>
      </c>
      <c r="M17" s="172" t="str">
        <f>Estratégia!L17</f>
        <v>Cumpre</v>
      </c>
      <c r="N17" s="174">
        <f>Estratégia!M17</f>
        <v>1.3999999999999999E-2</v>
      </c>
      <c r="O17" s="175">
        <f>Estratégia!N17</f>
        <v>0</v>
      </c>
      <c r="P17" s="140" t="str">
        <f>Estratégia!O17</f>
        <v>D</v>
      </c>
      <c r="Q17" s="140" t="str">
        <f>Estratégia!P17</f>
        <v>-</v>
      </c>
      <c r="R17" s="140" t="str">
        <f>Estratégia!Q17</f>
        <v>D</v>
      </c>
      <c r="S17" s="140" t="str">
        <f>Estratégia!R17</f>
        <v>-</v>
      </c>
      <c r="T17" s="143">
        <f>Estratégia!S17</f>
        <v>3</v>
      </c>
      <c r="U17" s="177" t="str">
        <f>Estratégia!T17</f>
        <v>Baja</v>
      </c>
      <c r="V17" s="142" t="str">
        <f>IF(Estratégia!U17=0.5,"",Estratégia!U17)</f>
        <v/>
      </c>
      <c r="W17" s="142" t="str">
        <f>IF(Estratégia!V17=0.5,"",Estratégia!V17)</f>
        <v/>
      </c>
      <c r="X17" s="142" t="str">
        <f>IF(Estratégia!W17=0.5,"",Estratégia!W17)</f>
        <v/>
      </c>
      <c r="Y17" s="142" t="str">
        <f>IF(Estratégia!X17=0.5,"",Estratégia!X17)</f>
        <v/>
      </c>
      <c r="Z17" s="142" t="str">
        <f>IF(Estratégia!Y17=0.5,"",Estratégia!Y17)</f>
        <v/>
      </c>
      <c r="AA17" s="178" t="str">
        <f ca="1">Estratégia!Z17</f>
        <v>Retrasado</v>
      </c>
      <c r="AB17" s="172" t="str">
        <f>Estratégia!AA17</f>
        <v>Parcial</v>
      </c>
      <c r="AC17" s="174">
        <f>Estratégia!AB17</f>
        <v>8.0000000000000002E-3</v>
      </c>
      <c r="AD17" s="175">
        <f>Estratégia!AC17</f>
        <v>0.57142857142857151</v>
      </c>
      <c r="AE17" s="140">
        <f>Estratégia!AD17</f>
        <v>3</v>
      </c>
      <c r="AF17" s="140" t="str">
        <f>Estratégia!AE17</f>
        <v/>
      </c>
      <c r="AG17" s="140" t="str">
        <f>Estratégia!AF17</f>
        <v/>
      </c>
      <c r="AH17" s="140" t="str">
        <f>Estratégia!AG17</f>
        <v/>
      </c>
      <c r="AI17" s="187" t="str">
        <f>IF('Estrategia 8'!E16=0,"",'Estrategia 8'!E16)</f>
        <v>NBC</v>
      </c>
      <c r="AJ17" s="187" t="str">
        <f>IF('Estrategia 8'!F16=0,"",'Estrategia 8'!F16)</f>
        <v/>
      </c>
      <c r="AK17" s="187" t="str">
        <f>IF('Estrategia 8'!G16=0,"",'Estrategia 8'!G16)</f>
        <v/>
      </c>
      <c r="AL17" s="187" t="str">
        <f>IF('Estrategia 8'!H16=0,"",'Estrategia 8'!H16)</f>
        <v/>
      </c>
      <c r="AM17" s="187" t="str">
        <f>IF('Estrategia 8'!I16=0,"",'Estrategia 8'!I16)</f>
        <v/>
      </c>
      <c r="AN17" s="98">
        <f t="shared" si="0"/>
        <v>8.0000000000000002E-3</v>
      </c>
      <c r="AO17" s="98">
        <f t="shared" si="1"/>
        <v>1.3999999999999999E-2</v>
      </c>
      <c r="AQ17" s="184" t="b">
        <f t="shared" si="3"/>
        <v>1</v>
      </c>
      <c r="AR17" s="184" t="b">
        <f t="shared" si="2"/>
        <v>1</v>
      </c>
      <c r="AS17" s="184" t="b">
        <f t="shared" si="2"/>
        <v>1</v>
      </c>
      <c r="AT17" s="184" t="b">
        <f t="shared" si="2"/>
        <v>1</v>
      </c>
      <c r="AU17" s="188" t="str">
        <f t="shared" si="4"/>
        <v>8.</v>
      </c>
      <c r="AV17" s="184" t="str">
        <f t="shared" si="5"/>
        <v>Rotinas de inovação</v>
      </c>
      <c r="AW17" s="189">
        <f t="shared" si="6"/>
        <v>8.0000000000000002E-3</v>
      </c>
    </row>
    <row r="18" spans="1:49" ht="45.75" customHeight="1" x14ac:dyDescent="0.3">
      <c r="A18" s="1">
        <v>9</v>
      </c>
      <c r="B18" s="168" t="s">
        <v>11</v>
      </c>
      <c r="C18" s="115" t="s">
        <v>92</v>
      </c>
      <c r="D18" s="179" t="s">
        <v>97</v>
      </c>
      <c r="E18" s="170" t="s">
        <v>98</v>
      </c>
      <c r="F18" s="180">
        <v>2.5000000000000001E-2</v>
      </c>
      <c r="G18" s="172" t="str">
        <f>Estratégia!F18</f>
        <v>Não cumpre</v>
      </c>
      <c r="H18" s="173">
        <f>Estratégia!G18</f>
        <v>0</v>
      </c>
      <c r="I18" s="140">
        <f>Estratégia!H18</f>
        <v>1</v>
      </c>
      <c r="J18" s="140" t="str">
        <f>Estratégia!I18</f>
        <v/>
      </c>
      <c r="K18" s="140" t="str">
        <f>Estratégia!J18</f>
        <v/>
      </c>
      <c r="L18" s="140" t="str">
        <f>Estratégia!K18</f>
        <v/>
      </c>
      <c r="M18" s="172" t="str">
        <f>Estratégia!L18</f>
        <v>Cumpre</v>
      </c>
      <c r="N18" s="174">
        <f>Estratégia!M18</f>
        <v>1.7499999999999998E-2</v>
      </c>
      <c r="O18" s="175">
        <f>Estratégia!N18</f>
        <v>0</v>
      </c>
      <c r="P18" s="140" t="str">
        <f>Estratégia!O18</f>
        <v>D</v>
      </c>
      <c r="Q18" s="140" t="str">
        <f>Estratégia!P18</f>
        <v>D</v>
      </c>
      <c r="R18" s="140" t="str">
        <f>Estratégia!Q18</f>
        <v>D</v>
      </c>
      <c r="S18" s="140" t="str">
        <f>Estratégia!R18</f>
        <v>-</v>
      </c>
      <c r="T18" s="143">
        <f>Estratégia!S18</f>
        <v>1</v>
      </c>
      <c r="U18" s="177" t="str">
        <f>Estratégia!T18</f>
        <v>Alta</v>
      </c>
      <c r="V18" s="142" t="str">
        <f>IF(Estratégia!U18=0.5,"",Estratégia!U18)</f>
        <v/>
      </c>
      <c r="W18" s="142" t="str">
        <f>IF(Estratégia!V18=0.5,"",Estratégia!V18)</f>
        <v/>
      </c>
      <c r="X18" s="142" t="str">
        <f>IF(Estratégia!W18=0.5,"",Estratégia!W18)</f>
        <v/>
      </c>
      <c r="Y18" s="142" t="str">
        <f>IF(Estratégia!X18=0.5,"",Estratégia!X18)</f>
        <v/>
      </c>
      <c r="Z18" s="142" t="str">
        <f>IF(Estratégia!Y18=0.5,"",Estratégia!Y18)</f>
        <v/>
      </c>
      <c r="AA18" s="178" t="str">
        <f ca="1">Estratégia!Z18</f>
        <v>Retrasado</v>
      </c>
      <c r="AB18" s="172" t="str">
        <f>Estratégia!AA18</f>
        <v>Parcial</v>
      </c>
      <c r="AC18" s="174">
        <f>Estratégia!AB18</f>
        <v>1.0000000000000002E-2</v>
      </c>
      <c r="AD18" s="175">
        <f>Estratégia!AC18</f>
        <v>0.57142857142857162</v>
      </c>
      <c r="AE18" s="140">
        <f>Estratégia!AD18</f>
        <v>3</v>
      </c>
      <c r="AF18" s="140" t="str">
        <f>Estratégia!AE18</f>
        <v/>
      </c>
      <c r="AG18" s="140" t="str">
        <f>Estratégia!AF18</f>
        <v/>
      </c>
      <c r="AH18" s="140" t="str">
        <f>Estratégia!AG18</f>
        <v/>
      </c>
      <c r="AI18" s="187" t="str">
        <f>IF('Estrategia 9'!E16=0,"",'Estrategia 9'!E16)</f>
        <v>NBC</v>
      </c>
      <c r="AJ18" s="187" t="str">
        <f>IF('Estrategia 9'!F16=0,"",'Estrategia 9'!F16)</f>
        <v/>
      </c>
      <c r="AK18" s="187" t="str">
        <f>IF('Estrategia 9'!G16=0,"",'Estrategia 9'!G16)</f>
        <v/>
      </c>
      <c r="AL18" s="187" t="str">
        <f>IF('Estrategia 9'!H16=0,"",'Estrategia 9'!H16)</f>
        <v/>
      </c>
      <c r="AM18" s="187" t="str">
        <f>IF('Estrategia 9'!I16=0,"",'Estrategia 9'!I16)</f>
        <v/>
      </c>
      <c r="AN18" s="98">
        <f t="shared" si="0"/>
        <v>1.0000000000000002E-2</v>
      </c>
      <c r="AO18" s="98">
        <f t="shared" si="1"/>
        <v>1.7499999999999998E-2</v>
      </c>
      <c r="AQ18" s="184" t="b">
        <f t="shared" si="3"/>
        <v>1</v>
      </c>
      <c r="AR18" s="184" t="b">
        <f t="shared" si="2"/>
        <v>1</v>
      </c>
      <c r="AS18" s="184" t="b">
        <f t="shared" si="2"/>
        <v>1</v>
      </c>
      <c r="AT18" s="184" t="b">
        <f t="shared" si="2"/>
        <v>1</v>
      </c>
      <c r="AU18" s="188" t="str">
        <f t="shared" si="4"/>
        <v>9.</v>
      </c>
      <c r="AV18" s="184" t="str">
        <f t="shared" si="5"/>
        <v>Satisfação do cliente</v>
      </c>
      <c r="AW18" s="189">
        <f t="shared" si="6"/>
        <v>1.0000000000000002E-2</v>
      </c>
    </row>
    <row r="19" spans="1:49" ht="45.75" customHeight="1" x14ac:dyDescent="0.3">
      <c r="A19" s="1">
        <v>10</v>
      </c>
      <c r="B19" s="168" t="s">
        <v>11</v>
      </c>
      <c r="C19" s="115" t="s">
        <v>99</v>
      </c>
      <c r="D19" s="179" t="s">
        <v>100</v>
      </c>
      <c r="E19" s="170" t="s">
        <v>101</v>
      </c>
      <c r="F19" s="171">
        <v>0.01</v>
      </c>
      <c r="G19" s="172" t="str">
        <f>Estratégia!F19</f>
        <v>Não cumpre</v>
      </c>
      <c r="H19" s="173">
        <f>Estratégia!G19</f>
        <v>0</v>
      </c>
      <c r="I19" s="140">
        <f>Estratégia!H19</f>
        <v>2</v>
      </c>
      <c r="J19" s="140">
        <f>Estratégia!I19</f>
        <v>2</v>
      </c>
      <c r="K19" s="140">
        <f>Estratégia!J19</f>
        <v>2</v>
      </c>
      <c r="L19" s="140" t="str">
        <f>Estratégia!K19</f>
        <v/>
      </c>
      <c r="M19" s="172" t="str">
        <f>Estratégia!L19</f>
        <v>Mais que Cumpre</v>
      </c>
      <c r="N19" s="174">
        <f>Estratégia!M19</f>
        <v>8.5000000000000006E-3</v>
      </c>
      <c r="O19" s="175">
        <f>Estratégia!N19</f>
        <v>0</v>
      </c>
      <c r="P19" s="140" t="str">
        <f>Estratégia!O19</f>
        <v>-</v>
      </c>
      <c r="Q19" s="140" t="str">
        <f>Estratégia!P19</f>
        <v>-</v>
      </c>
      <c r="R19" s="140" t="str">
        <f>Estratégia!Q19</f>
        <v>-</v>
      </c>
      <c r="S19" s="140" t="str">
        <f>Estratégia!R19</f>
        <v>-</v>
      </c>
      <c r="T19" s="143">
        <f>Estratégia!S19</f>
        <v>2</v>
      </c>
      <c r="U19" s="177" t="str">
        <f>Estratégia!T19</f>
        <v>Alta</v>
      </c>
      <c r="V19" s="142" t="str">
        <f>IF(Estratégia!U19=0.5,"",Estratégia!U19)</f>
        <v/>
      </c>
      <c r="W19" s="142" t="str">
        <f>IF(Estratégia!V19=0.5,"",Estratégia!V19)</f>
        <v/>
      </c>
      <c r="X19" s="142" t="str">
        <f>IF(Estratégia!W19=0.5,"",Estratégia!W19)</f>
        <v/>
      </c>
      <c r="Y19" s="142" t="str">
        <f>IF(Estratégia!X19=0.5,"",Estratégia!X19)</f>
        <v/>
      </c>
      <c r="Z19" s="142" t="str">
        <f>IF(Estratégia!Y19=0.5,"",Estratégia!Y19)</f>
        <v/>
      </c>
      <c r="AA19" s="178" t="str">
        <f ca="1">Estratégia!Z19</f>
        <v>Finalizado</v>
      </c>
      <c r="AB19" s="172" t="str">
        <f>Estratégia!AA19</f>
        <v>Melhor Prática</v>
      </c>
      <c r="AC19" s="174">
        <f>Estratégia!AB19</f>
        <v>0.01</v>
      </c>
      <c r="AD19" s="175">
        <f>Estratégia!AC19</f>
        <v>1.1764705882352942</v>
      </c>
      <c r="AE19" s="140">
        <f>Estratégia!AD19</f>
        <v>3</v>
      </c>
      <c r="AF19" s="140">
        <f>Estratégia!AE19</f>
        <v>3</v>
      </c>
      <c r="AG19" s="140">
        <f>Estratégia!AF19</f>
        <v>3</v>
      </c>
      <c r="AH19" s="140">
        <f>Estratégia!AG19</f>
        <v>3</v>
      </c>
      <c r="AI19" s="187" t="str">
        <f>IF('Estrategia 10'!E16=0,"",'Estrategia 10'!E16)</f>
        <v>BC</v>
      </c>
      <c r="AJ19" s="187" t="str">
        <f>IF('Estrategia 10'!F16=0,"",'Estrategia 10'!F16)</f>
        <v/>
      </c>
      <c r="AK19" s="187" t="str">
        <f>IF('Estrategia 10'!G16=0,"",'Estrategia 10'!G16)</f>
        <v>X</v>
      </c>
      <c r="AL19" s="187" t="str">
        <f>IF('Estrategia 10'!H16=0,"",'Estrategia 10'!H16)</f>
        <v>X</v>
      </c>
      <c r="AM19" s="187" t="str">
        <f>IF('Estrategia 10'!I16=0,"",'Estrategia 10'!I16)</f>
        <v/>
      </c>
      <c r="AN19" s="98">
        <f t="shared" si="0"/>
        <v>0.01</v>
      </c>
      <c r="AO19" s="98">
        <f t="shared" si="1"/>
        <v>8.5000000000000006E-3</v>
      </c>
      <c r="AQ19" s="184" t="b">
        <f t="shared" si="3"/>
        <v>1</v>
      </c>
      <c r="AR19" s="184" t="b">
        <f t="shared" si="2"/>
        <v>1</v>
      </c>
      <c r="AS19" s="184" t="b">
        <f t="shared" si="2"/>
        <v>1</v>
      </c>
      <c r="AT19" s="184" t="b">
        <f t="shared" si="2"/>
        <v>1</v>
      </c>
      <c r="AU19" s="188" t="str">
        <f t="shared" si="4"/>
        <v>10.</v>
      </c>
      <c r="AV19" s="184" t="str">
        <f t="shared" si="5"/>
        <v>Programa SRM</v>
      </c>
      <c r="AW19" s="189">
        <f t="shared" si="6"/>
        <v>0.01</v>
      </c>
    </row>
    <row r="20" spans="1:49" ht="45.75" customHeight="1" x14ac:dyDescent="0.3">
      <c r="A20" s="1">
        <v>11</v>
      </c>
      <c r="B20" s="168" t="s">
        <v>11</v>
      </c>
      <c r="C20" s="115" t="s">
        <v>102</v>
      </c>
      <c r="D20" s="179" t="s">
        <v>103</v>
      </c>
      <c r="E20" s="181" t="s">
        <v>104</v>
      </c>
      <c r="F20" s="180">
        <v>0.02</v>
      </c>
      <c r="G20" s="172" t="str">
        <f>Estratégia!F20</f>
        <v>Não cumpre</v>
      </c>
      <c r="H20" s="173">
        <f>Estratégia!G20</f>
        <v>0</v>
      </c>
      <c r="I20" s="140">
        <f>Estratégia!H20</f>
        <v>1</v>
      </c>
      <c r="J20" s="140" t="str">
        <f>Estratégia!I20</f>
        <v/>
      </c>
      <c r="K20" s="140" t="str">
        <f>Estratégia!J20</f>
        <v/>
      </c>
      <c r="L20" s="140" t="str">
        <f>Estratégia!K20</f>
        <v/>
      </c>
      <c r="M20" s="172" t="str">
        <f>Estratégia!L20</f>
        <v>Cumpre</v>
      </c>
      <c r="N20" s="174">
        <f>Estratégia!M20</f>
        <v>1.3999999999999999E-2</v>
      </c>
      <c r="O20" s="175">
        <f>Estratégia!N20</f>
        <v>0</v>
      </c>
      <c r="P20" s="140" t="str">
        <f>Estratégia!O20</f>
        <v>-</v>
      </c>
      <c r="Q20" s="140" t="str">
        <f>Estratégia!P20</f>
        <v>-</v>
      </c>
      <c r="R20" s="140" t="str">
        <f>Estratégia!Q20</f>
        <v>-</v>
      </c>
      <c r="S20" s="140" t="str">
        <f>Estratégia!R20</f>
        <v>D</v>
      </c>
      <c r="T20" s="143">
        <f>Estratégia!S20</f>
        <v>1</v>
      </c>
      <c r="U20" s="177" t="str">
        <f>Estratégia!T20</f>
        <v>Alta</v>
      </c>
      <c r="V20" s="142" t="str">
        <f>IF(Estratégia!U20=0.5,"",Estratégia!U20)</f>
        <v/>
      </c>
      <c r="W20" s="142" t="str">
        <f>IF(Estratégia!V20=0.5,"",Estratégia!V20)</f>
        <v/>
      </c>
      <c r="X20" s="142" t="str">
        <f>IF(Estratégia!W20=0.5,"",Estratégia!W20)</f>
        <v/>
      </c>
      <c r="Y20" s="142" t="str">
        <f>IF(Estratégia!X20=0.5,"",Estratégia!X20)</f>
        <v/>
      </c>
      <c r="Z20" s="142" t="str">
        <f>IF(Estratégia!Y20=0.5,"",Estratégia!Y20)</f>
        <v/>
      </c>
      <c r="AA20" s="178" t="str">
        <f ca="1">Estratégia!Z20</f>
        <v>Retrasado</v>
      </c>
      <c r="AB20" s="172" t="str">
        <f>Estratégia!AA20</f>
        <v>Mais que cumpre</v>
      </c>
      <c r="AC20" s="174">
        <f>Estratégia!AB20</f>
        <v>1.7000000000000001E-2</v>
      </c>
      <c r="AD20" s="175">
        <f>Estratégia!AC20</f>
        <v>1.2142857142857144</v>
      </c>
      <c r="AE20" s="140">
        <f>Estratégia!AD20</f>
        <v>3</v>
      </c>
      <c r="AF20" s="140">
        <f>Estratégia!AE20</f>
        <v>3</v>
      </c>
      <c r="AG20" s="140">
        <f>Estratégia!AF20</f>
        <v>3</v>
      </c>
      <c r="AH20" s="140" t="str">
        <f>Estratégia!AG20</f>
        <v/>
      </c>
      <c r="AI20" s="187" t="str">
        <f>IF('Estrategia 11'!E16=0,"",'Estrategia 11'!E16)</f>
        <v>BC</v>
      </c>
      <c r="AJ20" s="187" t="str">
        <f>IF('Estrategia 11'!F16=0,"",'Estrategia 11'!F16)</f>
        <v/>
      </c>
      <c r="AK20" s="187" t="str">
        <f>IF('Estrategia 11'!G16=0,"",'Estrategia 11'!G16)</f>
        <v/>
      </c>
      <c r="AL20" s="187" t="str">
        <f>IF('Estrategia 11'!H16=0,"",'Estrategia 11'!H16)</f>
        <v>X</v>
      </c>
      <c r="AM20" s="187" t="str">
        <f>IF('Estrategia 11'!I16=0,"",'Estrategia 11'!I16)</f>
        <v/>
      </c>
      <c r="AN20" s="98">
        <f t="shared" si="0"/>
        <v>1.7000000000000001E-2</v>
      </c>
      <c r="AO20" s="98">
        <f t="shared" si="1"/>
        <v>1.3999999999999999E-2</v>
      </c>
      <c r="AQ20" s="184" t="b">
        <f t="shared" si="3"/>
        <v>1</v>
      </c>
      <c r="AR20" s="184" t="b">
        <f t="shared" si="2"/>
        <v>1</v>
      </c>
      <c r="AS20" s="184" t="b">
        <f t="shared" si="2"/>
        <v>1</v>
      </c>
      <c r="AT20" s="184" t="b">
        <f t="shared" si="2"/>
        <v>1</v>
      </c>
      <c r="AU20" s="188" t="str">
        <f t="shared" si="4"/>
        <v>11.</v>
      </c>
      <c r="AV20" s="184" t="str">
        <f t="shared" si="5"/>
        <v>Estratégia de conectividade</v>
      </c>
      <c r="AW20" s="189">
        <f t="shared" si="6"/>
        <v>1.7000000000000001E-2</v>
      </c>
    </row>
    <row r="21" spans="1:49" ht="45.75" customHeight="1" x14ac:dyDescent="0.3">
      <c r="A21" s="1">
        <v>12</v>
      </c>
      <c r="B21" s="168" t="s">
        <v>11</v>
      </c>
      <c r="C21" s="115" t="s">
        <v>105</v>
      </c>
      <c r="D21" s="179" t="s">
        <v>106</v>
      </c>
      <c r="E21" s="170" t="s">
        <v>107</v>
      </c>
      <c r="F21" s="171">
        <v>1.4999999999999999E-2</v>
      </c>
      <c r="G21" s="172" t="str">
        <f>Estratégia!F21</f>
        <v>Não cumpre</v>
      </c>
      <c r="H21" s="173">
        <f>Estratégia!G21</f>
        <v>0</v>
      </c>
      <c r="I21" s="140">
        <f>Estratégia!H21</f>
        <v>1</v>
      </c>
      <c r="J21" s="140" t="str">
        <f>Estratégia!I21</f>
        <v/>
      </c>
      <c r="K21" s="140" t="str">
        <f>Estratégia!J21</f>
        <v/>
      </c>
      <c r="L21" s="140" t="str">
        <f>Estratégia!K21</f>
        <v/>
      </c>
      <c r="M21" s="172" t="str">
        <f>Estratégia!L21</f>
        <v>Mais que Cumpre</v>
      </c>
      <c r="N21" s="174">
        <f>Estratégia!M21</f>
        <v>1.2749999999999999E-2</v>
      </c>
      <c r="O21" s="175">
        <f>Estratégia!N21</f>
        <v>0</v>
      </c>
      <c r="P21" s="140" t="str">
        <f>Estratégia!O21</f>
        <v>-</v>
      </c>
      <c r="Q21" s="140" t="str">
        <f>Estratégia!P21</f>
        <v>-</v>
      </c>
      <c r="R21" s="140" t="str">
        <f>Estratégia!Q21</f>
        <v>-</v>
      </c>
      <c r="S21" s="140" t="str">
        <f>Estratégia!R21</f>
        <v>D</v>
      </c>
      <c r="T21" s="143">
        <f>Estratégia!S21</f>
        <v>1</v>
      </c>
      <c r="U21" s="177" t="str">
        <f>Estratégia!T21</f>
        <v>Alta</v>
      </c>
      <c r="V21" s="142" t="str">
        <f>IF(Estratégia!U21=0.5,"",Estratégia!U21)</f>
        <v/>
      </c>
      <c r="W21" s="142" t="str">
        <f>IF(Estratégia!V21=0.5,"",Estratégia!V21)</f>
        <v/>
      </c>
      <c r="X21" s="142" t="str">
        <f>IF(Estratégia!W21=0.5,"",Estratégia!W21)</f>
        <v/>
      </c>
      <c r="Y21" s="142" t="str">
        <f>IF(Estratégia!X21=0.5,"",Estratégia!X21)</f>
        <v/>
      </c>
      <c r="Z21" s="142" t="str">
        <f>IF(Estratégia!Y21=0.5,"",Estratégia!Y21)</f>
        <v/>
      </c>
      <c r="AA21" s="178" t="str">
        <f ca="1">Estratégia!Z21</f>
        <v>No Planificado</v>
      </c>
      <c r="AB21" s="172" t="str">
        <f>Estratégia!AA21</f>
        <v>Melhor Prática</v>
      </c>
      <c r="AC21" s="174">
        <f>Estratégia!AB21</f>
        <v>1.4999999999999999E-2</v>
      </c>
      <c r="AD21" s="175">
        <f>Estratégia!AC21</f>
        <v>1.1764705882352942</v>
      </c>
      <c r="AE21" s="140">
        <f>Estratégia!AD21</f>
        <v>3</v>
      </c>
      <c r="AF21" s="140">
        <f>Estratégia!AE21</f>
        <v>3</v>
      </c>
      <c r="AG21" s="140">
        <f>Estratégia!AF21</f>
        <v>3</v>
      </c>
      <c r="AH21" s="140">
        <f>Estratégia!AG21</f>
        <v>3</v>
      </c>
      <c r="AI21" s="187" t="str">
        <f>IF('Estrategia 12'!E16=0,"",'Estrategia 12'!E16)</f>
        <v>NBC</v>
      </c>
      <c r="AJ21" s="187" t="str">
        <f>IF('Estrategia 12'!F16=0,"",'Estrategia 12'!F16)</f>
        <v/>
      </c>
      <c r="AK21" s="187" t="str">
        <f>IF('Estrategia 12'!G16=0,"",'Estrategia 12'!G16)</f>
        <v/>
      </c>
      <c r="AL21" s="187" t="str">
        <f>IF('Estrategia 12'!H16=0,"",'Estrategia 12'!H16)</f>
        <v/>
      </c>
      <c r="AM21" s="187" t="str">
        <f>IF('Estrategia 12'!I16=0,"",'Estrategia 12'!I16)</f>
        <v/>
      </c>
      <c r="AN21" s="98">
        <f t="shared" si="0"/>
        <v>1.4999999999999999E-2</v>
      </c>
      <c r="AO21" s="98">
        <f t="shared" si="1"/>
        <v>1.2749999999999999E-2</v>
      </c>
      <c r="AQ21" s="184" t="b">
        <f t="shared" si="3"/>
        <v>1</v>
      </c>
      <c r="AR21" s="184" t="b">
        <f t="shared" si="2"/>
        <v>1</v>
      </c>
      <c r="AS21" s="184" t="b">
        <f t="shared" si="2"/>
        <v>1</v>
      </c>
      <c r="AT21" s="184" t="b">
        <f t="shared" si="2"/>
        <v>1</v>
      </c>
      <c r="AU21" s="188" t="str">
        <f t="shared" si="4"/>
        <v>12.</v>
      </c>
      <c r="AV21" s="184" t="str">
        <f t="shared" si="5"/>
        <v>Estratégia de sustentabilidade</v>
      </c>
      <c r="AW21" s="189">
        <f t="shared" si="6"/>
        <v>1.4999999999999999E-2</v>
      </c>
    </row>
    <row r="22" spans="1:49" ht="45.75" customHeight="1" x14ac:dyDescent="0.3">
      <c r="A22" s="1">
        <v>13</v>
      </c>
      <c r="B22" s="168" t="s">
        <v>11</v>
      </c>
      <c r="C22" s="115" t="s">
        <v>28</v>
      </c>
      <c r="D22" s="179" t="s">
        <v>108</v>
      </c>
      <c r="E22" s="181" t="s">
        <v>109</v>
      </c>
      <c r="F22" s="180">
        <v>2.5000000000000001E-2</v>
      </c>
      <c r="G22" s="172" t="str">
        <f>Estratégia!F22</f>
        <v>Cumpre</v>
      </c>
      <c r="H22" s="173">
        <f>Estratégia!G22</f>
        <v>1.7499999999999998E-2</v>
      </c>
      <c r="I22" s="140">
        <f>Estratégia!H22</f>
        <v>3</v>
      </c>
      <c r="J22" s="140">
        <f>Estratégia!I22</f>
        <v>3</v>
      </c>
      <c r="K22" s="140">
        <f>Estratégia!J22</f>
        <v>2</v>
      </c>
      <c r="L22" s="140" t="str">
        <f>Estratégia!K22</f>
        <v/>
      </c>
      <c r="M22" s="172" t="str">
        <f>Estratégia!L22</f>
        <v>Mais que Cumpre</v>
      </c>
      <c r="N22" s="174">
        <f>Estratégia!M22</f>
        <v>2.1250000000000002E-2</v>
      </c>
      <c r="O22" s="175">
        <f>Estratégia!N22</f>
        <v>0.82352941176470573</v>
      </c>
      <c r="P22" s="140" t="str">
        <f>Estratégia!O22</f>
        <v>-</v>
      </c>
      <c r="Q22" s="140" t="str">
        <f>Estratégia!P22</f>
        <v>D</v>
      </c>
      <c r="R22" s="140" t="str">
        <f>Estratégia!Q22</f>
        <v>D</v>
      </c>
      <c r="S22" s="140" t="str">
        <f>Estratégia!R22</f>
        <v>-</v>
      </c>
      <c r="T22" s="143">
        <f>Estratégia!S22</f>
        <v>3</v>
      </c>
      <c r="U22" s="177" t="str">
        <f>Estratégia!T22</f>
        <v>Alta</v>
      </c>
      <c r="V22" s="142" t="str">
        <f>IF(Estratégia!U22=0.5,"",Estratégia!U22)</f>
        <v/>
      </c>
      <c r="W22" s="142" t="str">
        <f>IF(Estratégia!V22=0.5,"",Estratégia!V22)</f>
        <v/>
      </c>
      <c r="X22" s="142" t="str">
        <f>IF(Estratégia!W22=0.5,"",Estratégia!W22)</f>
        <v/>
      </c>
      <c r="Y22" s="142" t="str">
        <f>IF(Estratégia!X22=0.5,"",Estratégia!X22)</f>
        <v/>
      </c>
      <c r="Z22" s="142" t="str">
        <f>IF(Estratégia!Y22=0.5,"",Estratégia!Y22)</f>
        <v/>
      </c>
      <c r="AA22" s="178" t="str">
        <f ca="1">Estratégia!Z22</f>
        <v>Retrasado</v>
      </c>
      <c r="AB22" s="172" t="str">
        <f>Estratégia!AA22</f>
        <v>Mais que cumpre</v>
      </c>
      <c r="AC22" s="174">
        <f>Estratégia!AB22</f>
        <v>2.1250000000000002E-2</v>
      </c>
      <c r="AD22" s="175">
        <f>Estratégia!AC22</f>
        <v>1</v>
      </c>
      <c r="AE22" s="140">
        <f>Estratégia!AD22</f>
        <v>3</v>
      </c>
      <c r="AF22" s="140">
        <f>Estratégia!AE22</f>
        <v>3</v>
      </c>
      <c r="AG22" s="140">
        <f>Estratégia!AF22</f>
        <v>3</v>
      </c>
      <c r="AH22" s="140" t="str">
        <f>Estratégia!AG22</f>
        <v/>
      </c>
      <c r="AI22" s="187" t="str">
        <f>IF('Estrategia 13'!E16=0,"",'Estrategia 13'!E16)</f>
        <v>BC</v>
      </c>
      <c r="AJ22" s="187" t="str">
        <f>IF('Estrategia 13'!F16=0,"",'Estrategia 13'!F16)</f>
        <v/>
      </c>
      <c r="AK22" s="187" t="str">
        <f>IF('Estrategia 13'!G16=0,"",'Estrategia 13'!G16)</f>
        <v/>
      </c>
      <c r="AL22" s="187" t="str">
        <f>IF('Estrategia 13'!H16=0,"",'Estrategia 13'!H16)</f>
        <v>X</v>
      </c>
      <c r="AM22" s="187" t="str">
        <f>IF('Estrategia 13'!I16=0,"",'Estrategia 13'!I16)</f>
        <v/>
      </c>
      <c r="AN22" s="98">
        <f t="shared" si="0"/>
        <v>3.7500000000000033E-3</v>
      </c>
      <c r="AO22" s="98">
        <f t="shared" si="1"/>
        <v>3.7500000000000033E-3</v>
      </c>
      <c r="AQ22" s="184" t="b">
        <f t="shared" si="3"/>
        <v>1</v>
      </c>
      <c r="AR22" s="184" t="b">
        <f t="shared" si="2"/>
        <v>1</v>
      </c>
      <c r="AS22" s="184" t="b">
        <f t="shared" si="2"/>
        <v>1</v>
      </c>
      <c r="AT22" s="184" t="b">
        <f t="shared" si="2"/>
        <v>1</v>
      </c>
      <c r="AU22" s="188" t="str">
        <f t="shared" si="4"/>
        <v>13.</v>
      </c>
      <c r="AV22" s="184" t="str">
        <f t="shared" si="5"/>
        <v>Certificação E2E</v>
      </c>
      <c r="AW22" s="189">
        <f t="shared" si="6"/>
        <v>2.1250000000000002E-2</v>
      </c>
    </row>
    <row r="23" spans="1:49" ht="45.75" customHeight="1" x14ac:dyDescent="0.3">
      <c r="A23" s="1">
        <v>14</v>
      </c>
      <c r="B23" s="168" t="s">
        <v>11</v>
      </c>
      <c r="C23" s="115" t="s">
        <v>28</v>
      </c>
      <c r="D23" s="179" t="s">
        <v>110</v>
      </c>
      <c r="E23" s="170" t="s">
        <v>111</v>
      </c>
      <c r="F23" s="171">
        <v>0.02</v>
      </c>
      <c r="G23" s="172" t="str">
        <f>Estratégia!F23</f>
        <v>Mais que cumpre</v>
      </c>
      <c r="H23" s="173">
        <f>Estratégia!G23</f>
        <v>1.7000000000000001E-2</v>
      </c>
      <c r="I23" s="140">
        <f>Estratégia!H23</f>
        <v>3</v>
      </c>
      <c r="J23" s="140">
        <f>Estratégia!I23</f>
        <v>3</v>
      </c>
      <c r="K23" s="140">
        <f>Estratégia!J23</f>
        <v>3</v>
      </c>
      <c r="L23" s="140" t="str">
        <f>Estratégia!K23</f>
        <v/>
      </c>
      <c r="M23" s="172" t="str">
        <f>Estratégia!L23</f>
        <v>Melhor Prática</v>
      </c>
      <c r="N23" s="174">
        <f>Estratégia!M23</f>
        <v>0.02</v>
      </c>
      <c r="O23" s="175">
        <f>Estratégia!N23</f>
        <v>0.85000000000000009</v>
      </c>
      <c r="P23" s="140" t="str">
        <f>Estratégia!O23</f>
        <v>D</v>
      </c>
      <c r="Q23" s="140" t="str">
        <f>Estratégia!P23</f>
        <v>D</v>
      </c>
      <c r="R23" s="140" t="str">
        <f>Estratégia!Q23</f>
        <v>D</v>
      </c>
      <c r="S23" s="140" t="str">
        <f>Estratégia!R23</f>
        <v>-</v>
      </c>
      <c r="T23" s="143">
        <f>Estratégia!S23</f>
        <v>3</v>
      </c>
      <c r="U23" s="177" t="str">
        <f>Estratégia!T23</f>
        <v>Alta</v>
      </c>
      <c r="V23" s="142" t="str">
        <f>IF(Estratégia!U23=0.5,"",Estratégia!U23)</f>
        <v/>
      </c>
      <c r="W23" s="142" t="str">
        <f>IF(Estratégia!V23=0.5,"",Estratégia!V23)</f>
        <v/>
      </c>
      <c r="X23" s="142" t="str">
        <f>IF(Estratégia!W23=0.5,"",Estratégia!W23)</f>
        <v/>
      </c>
      <c r="Y23" s="142" t="str">
        <f>IF(Estratégia!X23=0.5,"",Estratégia!X23)</f>
        <v/>
      </c>
      <c r="Z23" s="142" t="str">
        <f>IF(Estratégia!Y23=0.5,"",Estratégia!Y23)</f>
        <v/>
      </c>
      <c r="AA23" s="178" t="str">
        <f ca="1">Estratégia!Z23</f>
        <v>A Tiempo</v>
      </c>
      <c r="AB23" s="172" t="str">
        <f>Estratégia!AA23</f>
        <v>Melhor Prática</v>
      </c>
      <c r="AC23" s="174">
        <f>Estratégia!AB23</f>
        <v>0.02</v>
      </c>
      <c r="AD23" s="175">
        <f>Estratégia!AC23</f>
        <v>1</v>
      </c>
      <c r="AE23" s="140">
        <f>Estratégia!AD23</f>
        <v>3</v>
      </c>
      <c r="AF23" s="140">
        <f>Estratégia!AE23</f>
        <v>3</v>
      </c>
      <c r="AG23" s="140">
        <f>Estratégia!AF23</f>
        <v>3</v>
      </c>
      <c r="AH23" s="140">
        <f>Estratégia!AG23</f>
        <v>3</v>
      </c>
      <c r="AI23" s="187" t="str">
        <f>IF('Estrategia 14'!E16=0,"",'Estrategia 14'!E16)</f>
        <v>NBC</v>
      </c>
      <c r="AJ23" s="187" t="str">
        <f>IF('Estrategia 14'!F16=0,"",'Estrategia 14'!F16)</f>
        <v/>
      </c>
      <c r="AK23" s="187" t="str">
        <f>IF('Estrategia 14'!G16=0,"",'Estrategia 14'!G16)</f>
        <v/>
      </c>
      <c r="AL23" s="187" t="str">
        <f>IF('Estrategia 14'!H16=0,"",'Estrategia 14'!H16)</f>
        <v/>
      </c>
      <c r="AM23" s="187" t="str">
        <f>IF('Estrategia 14'!I16=0,"",'Estrategia 14'!I16)</f>
        <v/>
      </c>
      <c r="AN23" s="98">
        <f t="shared" si="0"/>
        <v>2.9999999999999992E-3</v>
      </c>
      <c r="AO23" s="98">
        <f t="shared" si="1"/>
        <v>2.9999999999999992E-3</v>
      </c>
      <c r="AQ23" s="184" t="b">
        <f t="shared" si="3"/>
        <v>1</v>
      </c>
      <c r="AR23" s="184" t="b">
        <f t="shared" si="2"/>
        <v>1</v>
      </c>
      <c r="AS23" s="184" t="b">
        <f t="shared" si="2"/>
        <v>1</v>
      </c>
      <c r="AT23" s="184" t="b">
        <f t="shared" si="2"/>
        <v>1</v>
      </c>
      <c r="AU23" s="188" t="str">
        <f t="shared" si="4"/>
        <v>14.</v>
      </c>
      <c r="AV23" s="184" t="str">
        <f t="shared" si="5"/>
        <v>Compromisso com o Programa E2E</v>
      </c>
      <c r="AW23" s="189">
        <f t="shared" si="6"/>
        <v>0.02</v>
      </c>
    </row>
    <row r="24" spans="1:49" ht="45.75" customHeight="1" x14ac:dyDescent="0.3">
      <c r="A24" s="1">
        <v>15</v>
      </c>
      <c r="B24" s="168" t="s">
        <v>11</v>
      </c>
      <c r="C24" s="115" t="s">
        <v>28</v>
      </c>
      <c r="D24" s="179" t="s">
        <v>112</v>
      </c>
      <c r="E24" s="181" t="s">
        <v>113</v>
      </c>
      <c r="F24" s="180">
        <v>1.4999999999999999E-2</v>
      </c>
      <c r="G24" s="172" t="str">
        <f>Estratégia!F24</f>
        <v>Parcial</v>
      </c>
      <c r="H24" s="173">
        <f>Estratégia!G24</f>
        <v>6.0000000000000001E-3</v>
      </c>
      <c r="I24" s="140">
        <f>Estratégia!H24</f>
        <v>3</v>
      </c>
      <c r="J24" s="140">
        <f>Estratégia!I24</f>
        <v>2</v>
      </c>
      <c r="K24" s="140" t="str">
        <f>Estratégia!J24</f>
        <v/>
      </c>
      <c r="L24" s="140" t="str">
        <f>Estratégia!K24</f>
        <v/>
      </c>
      <c r="M24" s="172" t="str">
        <f>Estratégia!L24</f>
        <v>Cumpre</v>
      </c>
      <c r="N24" s="174">
        <f>Estratégia!M24</f>
        <v>1.0499999999999999E-2</v>
      </c>
      <c r="O24" s="175">
        <f>Estratégia!N24</f>
        <v>0.57142857142857151</v>
      </c>
      <c r="P24" s="140" t="str">
        <f>Estratégia!O24</f>
        <v>D</v>
      </c>
      <c r="Q24" s="140" t="str">
        <f>Estratégia!P24</f>
        <v>D</v>
      </c>
      <c r="R24" s="140" t="str">
        <f>Estratégia!Q24</f>
        <v>D</v>
      </c>
      <c r="S24" s="140" t="str">
        <f>Estratégia!R24</f>
        <v>-</v>
      </c>
      <c r="T24" s="143">
        <f>Estratégia!S24</f>
        <v>3</v>
      </c>
      <c r="U24" s="177" t="str">
        <f>Estratégia!T24</f>
        <v>Baja</v>
      </c>
      <c r="V24" s="142" t="str">
        <f>IF(Estratégia!U24=0.5,"",Estratégia!U24)</f>
        <v/>
      </c>
      <c r="W24" s="142" t="str">
        <f>IF(Estratégia!V24=0.5,"",Estratégia!V24)</f>
        <v/>
      </c>
      <c r="X24" s="142" t="str">
        <f>IF(Estratégia!W24=0.5,"",Estratégia!W24)</f>
        <v/>
      </c>
      <c r="Y24" s="142" t="str">
        <f>IF(Estratégia!X24=0.5,"",Estratégia!X24)</f>
        <v/>
      </c>
      <c r="Z24" s="142" t="str">
        <f>IF(Estratégia!Y24=0.5,"",Estratégia!Y24)</f>
        <v/>
      </c>
      <c r="AA24" s="178" t="str">
        <f ca="1">Estratégia!Z24</f>
        <v>Retrasado</v>
      </c>
      <c r="AB24" s="172" t="str">
        <f>Estratégia!AA24</f>
        <v>Cumpre</v>
      </c>
      <c r="AC24" s="174">
        <f>Estratégia!AB24</f>
        <v>1.0499999999999999E-2</v>
      </c>
      <c r="AD24" s="175">
        <f>Estratégia!AC24</f>
        <v>1</v>
      </c>
      <c r="AE24" s="140">
        <f>Estratégia!AD24</f>
        <v>3</v>
      </c>
      <c r="AF24" s="140">
        <f>Estratégia!AE24</f>
        <v>3</v>
      </c>
      <c r="AG24" s="140" t="str">
        <f>Estratégia!AF24</f>
        <v/>
      </c>
      <c r="AH24" s="140" t="str">
        <f>Estratégia!AG24</f>
        <v/>
      </c>
      <c r="AI24" s="187" t="str">
        <f>IF('Estrategia 15'!E16=0,"",'Estrategia 15'!E16)</f>
        <v>BC</v>
      </c>
      <c r="AJ24" s="187" t="str">
        <f>IF('Estrategia 15'!F16=0,"",'Estrategia 15'!F16)</f>
        <v/>
      </c>
      <c r="AK24" s="187" t="str">
        <f>IF('Estrategia 15'!G16=0,"",'Estrategia 15'!G16)</f>
        <v>X</v>
      </c>
      <c r="AL24" s="187" t="str">
        <f>IF('Estrategia 15'!H16=0,"",'Estrategia 15'!H16)</f>
        <v/>
      </c>
      <c r="AM24" s="187" t="str">
        <f>IF('Estrategia 15'!I16=0,"",'Estrategia 15'!I16)</f>
        <v/>
      </c>
      <c r="AN24" s="98">
        <f t="shared" si="0"/>
        <v>4.4999999999999988E-3</v>
      </c>
      <c r="AO24" s="98">
        <f t="shared" si="1"/>
        <v>4.4999999999999988E-3</v>
      </c>
      <c r="AQ24" s="184" t="b">
        <f t="shared" si="3"/>
        <v>1</v>
      </c>
      <c r="AR24" s="184" t="b">
        <f t="shared" si="2"/>
        <v>1</v>
      </c>
      <c r="AS24" s="184" t="b">
        <f t="shared" si="2"/>
        <v>1</v>
      </c>
      <c r="AT24" s="184" t="b">
        <f t="shared" si="2"/>
        <v>1</v>
      </c>
      <c r="AU24" s="188" t="str">
        <f t="shared" si="4"/>
        <v>15.</v>
      </c>
      <c r="AV24" s="184" t="str">
        <f t="shared" si="5"/>
        <v>Savings do Programa E2E</v>
      </c>
      <c r="AW24" s="189">
        <f t="shared" si="6"/>
        <v>1.0499999999999999E-2</v>
      </c>
    </row>
    <row r="25" spans="1:49" ht="45.75" customHeight="1" x14ac:dyDescent="0.3">
      <c r="A25" s="1">
        <v>16</v>
      </c>
      <c r="B25" s="168" t="s">
        <v>11</v>
      </c>
      <c r="C25" s="115" t="s">
        <v>28</v>
      </c>
      <c r="D25" s="179" t="s">
        <v>114</v>
      </c>
      <c r="E25" s="181" t="s">
        <v>115</v>
      </c>
      <c r="F25" s="171">
        <v>0.01</v>
      </c>
      <c r="G25" s="172" t="str">
        <f>Estratégia!F25</f>
        <v>Não cumpre</v>
      </c>
      <c r="H25" s="173">
        <f>Estratégia!G25</f>
        <v>0</v>
      </c>
      <c r="I25" s="140">
        <f>Estratégia!H25</f>
        <v>2</v>
      </c>
      <c r="J25" s="140">
        <f>Estratégia!I25</f>
        <v>3</v>
      </c>
      <c r="K25" s="140" t="str">
        <f>Estratégia!J25</f>
        <v/>
      </c>
      <c r="L25" s="140" t="str">
        <f>Estratégia!K25</f>
        <v/>
      </c>
      <c r="M25" s="172" t="str">
        <f>Estratégia!L25</f>
        <v>Cumpre</v>
      </c>
      <c r="N25" s="174">
        <f>Estratégia!M25</f>
        <v>6.9999999999999993E-3</v>
      </c>
      <c r="O25" s="175">
        <f>Estratégia!N25</f>
        <v>0</v>
      </c>
      <c r="P25" s="140" t="str">
        <f>Estratégia!O25</f>
        <v>D</v>
      </c>
      <c r="Q25" s="140" t="str">
        <f>Estratégia!P25</f>
        <v>D</v>
      </c>
      <c r="R25" s="140" t="str">
        <f>Estratégia!Q25</f>
        <v>D</v>
      </c>
      <c r="S25" s="140" t="str">
        <f>Estratégia!R25</f>
        <v>D</v>
      </c>
      <c r="T25" s="143">
        <f>Estratégia!S25</f>
        <v>3</v>
      </c>
      <c r="U25" s="177" t="str">
        <f>Estratégia!T25</f>
        <v>Alta</v>
      </c>
      <c r="V25" s="142" t="str">
        <f>IF(Estratégia!U25=0.5,"",Estratégia!U25)</f>
        <v/>
      </c>
      <c r="W25" s="142" t="str">
        <f>IF(Estratégia!V25=0.5,"",Estratégia!V25)</f>
        <v/>
      </c>
      <c r="X25" s="142" t="str">
        <f>IF(Estratégia!W25=0.5,"",Estratégia!W25)</f>
        <v/>
      </c>
      <c r="Y25" s="142" t="str">
        <f>IF(Estratégia!X25=0.5,"",Estratégia!X25)</f>
        <v/>
      </c>
      <c r="Z25" s="142" t="str">
        <f>IF(Estratégia!Y25=0.5,"",Estratégia!Y25)</f>
        <v/>
      </c>
      <c r="AA25" s="178" t="str">
        <f ca="1">Estratégia!Z25</f>
        <v>A Tiempo</v>
      </c>
      <c r="AB25" s="172" t="str">
        <f>Estratégia!AA25</f>
        <v>Cumpre</v>
      </c>
      <c r="AC25" s="174">
        <f>Estratégia!AB25</f>
        <v>6.9999999999999993E-3</v>
      </c>
      <c r="AD25" s="175">
        <f>Estratégia!AC25</f>
        <v>1</v>
      </c>
      <c r="AE25" s="140">
        <f>Estratégia!AD25</f>
        <v>3</v>
      </c>
      <c r="AF25" s="140">
        <f>Estratégia!AE25</f>
        <v>3</v>
      </c>
      <c r="AG25" s="140" t="str">
        <f>Estratégia!AF25</f>
        <v/>
      </c>
      <c r="AH25" s="140" t="str">
        <f>Estratégia!AG25</f>
        <v/>
      </c>
      <c r="AI25" s="187" t="str">
        <f>IF('Estrategia 16'!E16=0,"",'Estrategia 16'!E16)</f>
        <v>NBC</v>
      </c>
      <c r="AJ25" s="187" t="str">
        <f>IF('Estrategia 16'!F16=0,"",'Estrategia 16'!F16)</f>
        <v/>
      </c>
      <c r="AK25" s="187" t="str">
        <f>IF('Estrategia 16'!G16=0,"",'Estrategia 16'!G16)</f>
        <v/>
      </c>
      <c r="AL25" s="187" t="str">
        <f>IF('Estrategia 16'!H16=0,"",'Estrategia 16'!H16)</f>
        <v/>
      </c>
      <c r="AM25" s="187" t="str">
        <f>IF('Estrategia 16'!I16=0,"",'Estrategia 16'!I16)</f>
        <v/>
      </c>
      <c r="AN25" s="98">
        <f t="shared" si="0"/>
        <v>6.9999999999999993E-3</v>
      </c>
      <c r="AO25" s="98">
        <f t="shared" si="1"/>
        <v>6.9999999999999993E-3</v>
      </c>
      <c r="AQ25" s="184" t="b">
        <f t="shared" si="3"/>
        <v>1</v>
      </c>
      <c r="AR25" s="184" t="b">
        <f t="shared" si="2"/>
        <v>1</v>
      </c>
      <c r="AS25" s="184" t="b">
        <f t="shared" si="2"/>
        <v>1</v>
      </c>
      <c r="AT25" s="184" t="b">
        <f t="shared" si="2"/>
        <v>1</v>
      </c>
      <c r="AU25" s="188" t="str">
        <f t="shared" si="4"/>
        <v>16.</v>
      </c>
      <c r="AV25" s="184" t="str">
        <f t="shared" si="5"/>
        <v>Business review da Área de EDF</v>
      </c>
      <c r="AW25" s="189">
        <f t="shared" si="6"/>
        <v>6.9999999999999993E-3</v>
      </c>
    </row>
    <row r="26" spans="1:49" ht="45.75" customHeight="1" x14ac:dyDescent="0.3">
      <c r="A26" s="1">
        <v>17</v>
      </c>
      <c r="B26" s="168" t="s">
        <v>116</v>
      </c>
      <c r="C26" s="115" t="s">
        <v>87</v>
      </c>
      <c r="D26" s="179" t="s">
        <v>79</v>
      </c>
      <c r="E26" s="170" t="s">
        <v>117</v>
      </c>
      <c r="F26" s="180">
        <v>1.4999999999999999E-2</v>
      </c>
      <c r="G26" s="172" t="str">
        <f>Adquisición!F10</f>
        <v>Melhor Prática</v>
      </c>
      <c r="H26" s="173">
        <f>Adquisición!G10</f>
        <v>1.4999999999999999E-2</v>
      </c>
      <c r="I26" s="140">
        <f>Adquisición!H10</f>
        <v>3</v>
      </c>
      <c r="J26" s="140">
        <f>Adquisición!I10</f>
        <v>3</v>
      </c>
      <c r="K26" s="140">
        <f>Adquisición!J10</f>
        <v>3</v>
      </c>
      <c r="L26" s="140">
        <f>Adquisición!K10</f>
        <v>3</v>
      </c>
      <c r="M26" s="172" t="str">
        <f>Adquisición!L10</f>
        <v>Melhor Prática</v>
      </c>
      <c r="N26" s="174">
        <f>Adquisición!M10</f>
        <v>1.4999999999999999E-2</v>
      </c>
      <c r="O26" s="175">
        <f>Adquisición!N10</f>
        <v>1</v>
      </c>
      <c r="P26" s="140" t="str">
        <f>Adquisición!O10</f>
        <v>-</v>
      </c>
      <c r="Q26" s="140" t="str">
        <f>Adquisición!P10</f>
        <v>-</v>
      </c>
      <c r="R26" s="140" t="str">
        <f>Adquisición!Q10</f>
        <v>-</v>
      </c>
      <c r="S26" s="140" t="str">
        <f>Adquisición!R10</f>
        <v>D</v>
      </c>
      <c r="T26" s="143">
        <f>Adquisición!S10</f>
        <v>1</v>
      </c>
      <c r="U26" s="177" t="str">
        <f>Adquisición!T10</f>
        <v>No Planificado</v>
      </c>
      <c r="V26" s="142" t="str">
        <f>IF(Adquisición!U10=0.5,"",Adquisición!U10)</f>
        <v/>
      </c>
      <c r="W26" s="142" t="str">
        <f>IF(Adquisición!V10=0.5,"",Adquisición!V10)</f>
        <v/>
      </c>
      <c r="X26" s="142" t="str">
        <f>IF(Adquisición!W10=0.5,"",Adquisición!W10)</f>
        <v/>
      </c>
      <c r="Y26" s="142" t="str">
        <f>IF(Adquisición!X10=0.5,"",Adquisición!X10)</f>
        <v/>
      </c>
      <c r="Z26" s="142" t="str">
        <f>IF(Adquisición!Y10=0.5,"",Adquisición!Y10)</f>
        <v/>
      </c>
      <c r="AA26" s="178" t="str">
        <f ca="1">Adquisición!Z10</f>
        <v>A Tiempo</v>
      </c>
      <c r="AB26" s="172" t="str">
        <f>Adquisición!AA10</f>
        <v>Melhor Prática</v>
      </c>
      <c r="AC26" s="174">
        <f>Adquisición!AB10</f>
        <v>1.4999999999999999E-2</v>
      </c>
      <c r="AD26" s="175">
        <f>Adquisición!AC10</f>
        <v>1</v>
      </c>
      <c r="AE26" s="140">
        <f>Adquisición!AD10</f>
        <v>3</v>
      </c>
      <c r="AF26" s="140">
        <f>Adquisición!AE10</f>
        <v>3</v>
      </c>
      <c r="AG26" s="140">
        <f>Adquisición!AF10</f>
        <v>3</v>
      </c>
      <c r="AH26" s="140">
        <f>Adquisición!AG10</f>
        <v>3</v>
      </c>
      <c r="AI26" s="187" t="str">
        <f>IF('Adquisición 1'!E16=0,"",'Adquisición 1'!E16)</f>
        <v>BC</v>
      </c>
      <c r="AJ26" s="187" t="str">
        <f>IF('Adquisición 1'!F16=0,"",'Adquisición 1'!F16)</f>
        <v/>
      </c>
      <c r="AK26" s="187" t="str">
        <f>IF('Adquisición 1'!G16=0,"",'Adquisición 1'!G16)</f>
        <v/>
      </c>
      <c r="AL26" s="187" t="str">
        <f>IF('Adquisición 1'!H16=0,"",'Adquisición 1'!H16)</f>
        <v/>
      </c>
      <c r="AM26" s="187" t="str">
        <f>IF('Adquisición 1'!I16=0,"",'Adquisición 1'!I16)</f>
        <v>X</v>
      </c>
      <c r="AN26" s="98">
        <f t="shared" si="0"/>
        <v>0</v>
      </c>
      <c r="AO26" s="98">
        <f t="shared" si="1"/>
        <v>0</v>
      </c>
      <c r="AQ26" s="184" t="b">
        <f t="shared" si="3"/>
        <v>1</v>
      </c>
      <c r="AR26" s="184" t="b">
        <f t="shared" si="3"/>
        <v>1</v>
      </c>
      <c r="AS26" s="184" t="b">
        <f t="shared" si="3"/>
        <v>1</v>
      </c>
      <c r="AT26" s="184" t="b">
        <f t="shared" si="3"/>
        <v>1</v>
      </c>
      <c r="AU26" s="188" t="str">
        <f t="shared" si="4"/>
        <v>1.</v>
      </c>
      <c r="AV26" s="184" t="str">
        <f t="shared" si="5"/>
        <v>Plano de investimento</v>
      </c>
      <c r="AW26" s="189">
        <f t="shared" si="6"/>
        <v>1.4999999999999999E-2</v>
      </c>
    </row>
    <row r="27" spans="1:49" ht="45.75" customHeight="1" x14ac:dyDescent="0.3">
      <c r="A27" s="1">
        <v>18</v>
      </c>
      <c r="B27" s="168" t="s">
        <v>116</v>
      </c>
      <c r="C27" s="115" t="s">
        <v>118</v>
      </c>
      <c r="D27" s="169" t="s">
        <v>81</v>
      </c>
      <c r="E27" s="181" t="s">
        <v>119</v>
      </c>
      <c r="F27" s="171">
        <v>0.01</v>
      </c>
      <c r="G27" s="172" t="str">
        <f>Adquisición!F11</f>
        <v>Parcial</v>
      </c>
      <c r="H27" s="173">
        <f>Adquisición!G11</f>
        <v>4.0000000000000001E-3</v>
      </c>
      <c r="I27" s="140">
        <f>Adquisición!H11</f>
        <v>3</v>
      </c>
      <c r="J27" s="140">
        <f>Adquisición!I11</f>
        <v>2</v>
      </c>
      <c r="K27" s="140">
        <f>Adquisición!J11</f>
        <v>1</v>
      </c>
      <c r="L27" s="140" t="str">
        <f>Adquisición!K11</f>
        <v/>
      </c>
      <c r="M27" s="172" t="str">
        <f>Adquisición!L11</f>
        <v>Cumpre</v>
      </c>
      <c r="N27" s="174">
        <f>Adquisición!M11</f>
        <v>6.9999999999999993E-3</v>
      </c>
      <c r="O27" s="175">
        <f>Adquisición!N11</f>
        <v>0.57142857142857151</v>
      </c>
      <c r="P27" s="140" t="str">
        <f>Adquisición!O11</f>
        <v>D</v>
      </c>
      <c r="Q27" s="140" t="str">
        <f>Adquisición!P11</f>
        <v>-</v>
      </c>
      <c r="R27" s="140" t="str">
        <f>Adquisición!Q11</f>
        <v>-</v>
      </c>
      <c r="S27" s="140" t="str">
        <f>Adquisición!R11</f>
        <v>D</v>
      </c>
      <c r="T27" s="143" t="str">
        <f>Adquisición!S11</f>
        <v/>
      </c>
      <c r="U27" s="177" t="str">
        <f>Adquisición!T11</f>
        <v/>
      </c>
      <c r="V27" s="142" t="str">
        <f>IF(Adquisición!U11=0.5,"",Adquisición!U11)</f>
        <v/>
      </c>
      <c r="W27" s="142" t="str">
        <f>IF(Adquisición!V11=0.5,"",Adquisición!V11)</f>
        <v/>
      </c>
      <c r="X27" s="142" t="str">
        <f>IF(Adquisición!W11=0.5,"",Adquisición!W11)</f>
        <v/>
      </c>
      <c r="Y27" s="142" t="str">
        <f>IF(Adquisición!X11=0.5,"",Adquisición!X11)</f>
        <v/>
      </c>
      <c r="Z27" s="142" t="str">
        <f>IF(Adquisición!Y11=0.5,"",Adquisición!Y11)</f>
        <v/>
      </c>
      <c r="AA27" s="178" t="str">
        <f ca="1">Adquisición!Z11</f>
        <v>No Planificado</v>
      </c>
      <c r="AB27" s="172" t="str">
        <f>Adquisición!AA11</f>
        <v>Cumpre</v>
      </c>
      <c r="AC27" s="174">
        <f>Adquisición!AB11</f>
        <v>6.9999999999999993E-3</v>
      </c>
      <c r="AD27" s="175">
        <f>Adquisición!AC11</f>
        <v>1</v>
      </c>
      <c r="AE27" s="140">
        <f>Adquisición!AD11</f>
        <v>3</v>
      </c>
      <c r="AF27" s="140">
        <f>Adquisición!AE11</f>
        <v>3</v>
      </c>
      <c r="AG27" s="140">
        <f>Adquisición!AF11</f>
        <v>1</v>
      </c>
      <c r="AH27" s="140">
        <f>Adquisición!AG11</f>
        <v>1</v>
      </c>
      <c r="AI27" s="187" t="str">
        <f>IF('Adquisición 2'!E16=0,"",'Adquisición 2'!E16)</f>
        <v>BC</v>
      </c>
      <c r="AJ27" s="187" t="str">
        <f>IF('Adquisición 2'!F16=0,"",'Adquisición 2'!F16)</f>
        <v>X</v>
      </c>
      <c r="AK27" s="187" t="str">
        <f>IF('Adquisición 2'!G16=0,"",'Adquisición 2'!G16)</f>
        <v/>
      </c>
      <c r="AL27" s="187" t="str">
        <f>IF('Adquisición 2'!H16=0,"",'Adquisición 2'!H16)</f>
        <v/>
      </c>
      <c r="AM27" s="187" t="str">
        <f>IF('Adquisición 2'!I16=0,"",'Adquisición 2'!I16)</f>
        <v/>
      </c>
      <c r="AN27" s="98">
        <f t="shared" si="0"/>
        <v>2.9999999999999992E-3</v>
      </c>
      <c r="AO27" s="98">
        <f t="shared" si="1"/>
        <v>2.9999999999999992E-3</v>
      </c>
      <c r="AQ27" s="184" t="b">
        <f t="shared" si="3"/>
        <v>1</v>
      </c>
      <c r="AR27" s="184" t="b">
        <f t="shared" si="3"/>
        <v>1</v>
      </c>
      <c r="AS27" s="184" t="b">
        <f t="shared" si="3"/>
        <v>1</v>
      </c>
      <c r="AT27" s="184" t="b">
        <f t="shared" si="3"/>
        <v>1</v>
      </c>
      <c r="AU27" s="188" t="str">
        <f t="shared" si="4"/>
        <v>2.</v>
      </c>
      <c r="AV27" s="184" t="str">
        <f t="shared" si="5"/>
        <v>Gestão de chegadas e estoque de equipamentos</v>
      </c>
      <c r="AW27" s="189">
        <f t="shared" si="6"/>
        <v>6.9999999999999993E-3</v>
      </c>
    </row>
    <row r="28" spans="1:49" ht="45.75" customHeight="1" x14ac:dyDescent="0.3">
      <c r="A28" s="1">
        <v>19</v>
      </c>
      <c r="B28" s="168" t="s">
        <v>116</v>
      </c>
      <c r="C28" s="115" t="s">
        <v>99</v>
      </c>
      <c r="D28" s="169" t="s">
        <v>83</v>
      </c>
      <c r="E28" s="170" t="s">
        <v>120</v>
      </c>
      <c r="F28" s="180">
        <v>0.01</v>
      </c>
      <c r="G28" s="172" t="str">
        <f>Adquisición!F12</f>
        <v>Melhor Prática</v>
      </c>
      <c r="H28" s="173">
        <f>Adquisición!G12</f>
        <v>0.01</v>
      </c>
      <c r="I28" s="140">
        <f>Adquisición!H12</f>
        <v>3</v>
      </c>
      <c r="J28" s="140">
        <f>Adquisición!I12</f>
        <v>3</v>
      </c>
      <c r="K28" s="140">
        <f>Adquisición!J12</f>
        <v>3</v>
      </c>
      <c r="L28" s="140">
        <f>Adquisición!K12</f>
        <v>3</v>
      </c>
      <c r="M28" s="172" t="str">
        <f>Adquisición!L12</f>
        <v>Melhor Prática</v>
      </c>
      <c r="N28" s="174">
        <f>Adquisición!M12</f>
        <v>0.01</v>
      </c>
      <c r="O28" s="175">
        <f>Adquisición!N12</f>
        <v>1</v>
      </c>
      <c r="P28" s="140" t="str">
        <f>Adquisición!O12</f>
        <v>D</v>
      </c>
      <c r="Q28" s="140" t="str">
        <f>Adquisición!P12</f>
        <v>D</v>
      </c>
      <c r="R28" s="140" t="str">
        <f>Adquisición!Q12</f>
        <v>D</v>
      </c>
      <c r="S28" s="140" t="str">
        <f>Adquisición!R12</f>
        <v>-</v>
      </c>
      <c r="T28" s="143">
        <f>Adquisición!S12</f>
        <v>3</v>
      </c>
      <c r="U28" s="177" t="str">
        <f>Adquisición!T12</f>
        <v>Baja</v>
      </c>
      <c r="V28" s="142" t="str">
        <f>IF(Adquisición!U12=0.5,"",Adquisición!U12)</f>
        <v/>
      </c>
      <c r="W28" s="142" t="str">
        <f>IF(Adquisición!V12=0.5,"",Adquisición!V12)</f>
        <v/>
      </c>
      <c r="X28" s="142" t="str">
        <f>IF(Adquisición!W12=0.5,"",Adquisición!W12)</f>
        <v/>
      </c>
      <c r="Y28" s="142" t="str">
        <f>IF(Adquisición!X12=0.5,"",Adquisición!X12)</f>
        <v/>
      </c>
      <c r="Z28" s="142" t="str">
        <f>IF(Adquisición!Y12=0.5,"",Adquisición!Y12)</f>
        <v/>
      </c>
      <c r="AA28" s="178" t="str">
        <f ca="1">Adquisición!Z12</f>
        <v>A Tiempo</v>
      </c>
      <c r="AB28" s="172" t="str">
        <f>Adquisición!AA12</f>
        <v>Melhor Prática</v>
      </c>
      <c r="AC28" s="174">
        <f>Adquisición!AB12</f>
        <v>0.01</v>
      </c>
      <c r="AD28" s="175">
        <f>Adquisición!AC12</f>
        <v>1</v>
      </c>
      <c r="AE28" s="140">
        <f>Adquisición!AD12</f>
        <v>3</v>
      </c>
      <c r="AF28" s="140">
        <f>Adquisición!AE12</f>
        <v>3</v>
      </c>
      <c r="AG28" s="140">
        <f>Adquisición!AF12</f>
        <v>3</v>
      </c>
      <c r="AH28" s="140">
        <f>Adquisición!AG12</f>
        <v>3</v>
      </c>
      <c r="AI28" s="187" t="str">
        <f>IF('Adquisición 3'!E16=0,"",'Adquisición 3'!E16)</f>
        <v>BC</v>
      </c>
      <c r="AJ28" s="187" t="str">
        <f>IF('Adquisición 3'!F16=0,"",'Adquisición 3'!F16)</f>
        <v/>
      </c>
      <c r="AK28" s="187" t="str">
        <f>IF('Adquisición 3'!G16=0,"",'Adquisición 3'!G16)</f>
        <v>X</v>
      </c>
      <c r="AL28" s="187" t="str">
        <f>IF('Adquisición 3'!H16=0,"",'Adquisición 3'!H16)</f>
        <v>X</v>
      </c>
      <c r="AM28" s="187" t="str">
        <f>IF('Adquisición 3'!I16=0,"",'Adquisición 3'!I16)</f>
        <v/>
      </c>
      <c r="AN28" s="98">
        <f t="shared" si="0"/>
        <v>0</v>
      </c>
      <c r="AO28" s="98">
        <f t="shared" si="1"/>
        <v>0</v>
      </c>
      <c r="AQ28" s="184" t="b">
        <f t="shared" si="3"/>
        <v>1</v>
      </c>
      <c r="AR28" s="184" t="b">
        <f t="shared" si="3"/>
        <v>1</v>
      </c>
      <c r="AS28" s="184" t="b">
        <f t="shared" si="3"/>
        <v>1</v>
      </c>
      <c r="AT28" s="184" t="b">
        <f t="shared" si="3"/>
        <v>1</v>
      </c>
      <c r="AU28" s="188" t="str">
        <f t="shared" si="4"/>
        <v>3.</v>
      </c>
      <c r="AV28" s="184" t="str">
        <f t="shared" si="5"/>
        <v>SLA dos fornecedores</v>
      </c>
      <c r="AW28" s="189">
        <f t="shared" si="6"/>
        <v>0.01</v>
      </c>
    </row>
    <row r="29" spans="1:49" ht="45.75" customHeight="1" x14ac:dyDescent="0.3">
      <c r="A29" s="1">
        <v>20</v>
      </c>
      <c r="B29" s="168" t="s">
        <v>116</v>
      </c>
      <c r="C29" s="115" t="s">
        <v>99</v>
      </c>
      <c r="D29" s="169" t="s">
        <v>85</v>
      </c>
      <c r="E29" s="170" t="s">
        <v>121</v>
      </c>
      <c r="F29" s="171">
        <v>0.01</v>
      </c>
      <c r="G29" s="172" t="str">
        <f>Adquisición!F13</f>
        <v>Não cumpre</v>
      </c>
      <c r="H29" s="173">
        <f>Adquisición!G13</f>
        <v>0</v>
      </c>
      <c r="I29" s="140">
        <f>Adquisición!H13</f>
        <v>2</v>
      </c>
      <c r="J29" s="140">
        <f>Adquisición!I13</f>
        <v>2</v>
      </c>
      <c r="K29" s="140">
        <f>Adquisición!J13</f>
        <v>1</v>
      </c>
      <c r="L29" s="140">
        <f>Adquisición!K13</f>
        <v>1</v>
      </c>
      <c r="M29" s="172" t="str">
        <f>Adquisición!L13</f>
        <v>Mais que Cumpre</v>
      </c>
      <c r="N29" s="174">
        <f>Adquisición!M13</f>
        <v>8.5000000000000006E-3</v>
      </c>
      <c r="O29" s="175">
        <f>Adquisición!N13</f>
        <v>0</v>
      </c>
      <c r="P29" s="140" t="str">
        <f>Adquisición!O13</f>
        <v>-</v>
      </c>
      <c r="Q29" s="140" t="str">
        <f>Adquisición!P13</f>
        <v>-</v>
      </c>
      <c r="R29" s="140" t="str">
        <f>Adquisición!Q13</f>
        <v>-</v>
      </c>
      <c r="S29" s="140" t="str">
        <f>Adquisición!R13</f>
        <v>-</v>
      </c>
      <c r="T29" s="143">
        <f>Adquisición!S13</f>
        <v>2</v>
      </c>
      <c r="U29" s="177" t="str">
        <f>Adquisición!T13</f>
        <v>Alta</v>
      </c>
      <c r="V29" s="142" t="str">
        <f>IF(Adquisición!U13=0.5,"",Adquisición!U13)</f>
        <v/>
      </c>
      <c r="W29" s="142" t="str">
        <f>IF(Adquisición!V13=0.5,"",Adquisición!V13)</f>
        <v/>
      </c>
      <c r="X29" s="142" t="str">
        <f>IF(Adquisición!W13=0.5,"",Adquisición!W13)</f>
        <v/>
      </c>
      <c r="Y29" s="142" t="str">
        <f>IF(Adquisición!X13=0.5,"",Adquisición!X13)</f>
        <v/>
      </c>
      <c r="Z29" s="142" t="str">
        <f>IF(Adquisición!Y13=0.5,"",Adquisición!Y13)</f>
        <v/>
      </c>
      <c r="AA29" s="178" t="str">
        <f ca="1">Adquisición!Z13</f>
        <v>Finalizado</v>
      </c>
      <c r="AB29" s="172" t="str">
        <f>Adquisición!AA13</f>
        <v>Mais que cumpre</v>
      </c>
      <c r="AC29" s="174">
        <f>Adquisición!AB13</f>
        <v>8.5000000000000006E-3</v>
      </c>
      <c r="AD29" s="175">
        <f>Adquisición!AC13</f>
        <v>1</v>
      </c>
      <c r="AE29" s="140">
        <f>Adquisición!AD13</f>
        <v>3</v>
      </c>
      <c r="AF29" s="140">
        <f>Adquisición!AE13</f>
        <v>3</v>
      </c>
      <c r="AG29" s="140">
        <f>Adquisición!AF13</f>
        <v>3</v>
      </c>
      <c r="AH29" s="140">
        <f>Adquisición!AG13</f>
        <v>1</v>
      </c>
      <c r="AI29" s="187" t="str">
        <f>IF('Adquisición 4'!E16=0,"",'Adquisición 4'!E16)</f>
        <v>NBC</v>
      </c>
      <c r="AJ29" s="187" t="str">
        <f>IF('Adquisición 4'!F16=0,"",'Adquisición 4'!F16)</f>
        <v/>
      </c>
      <c r="AK29" s="187" t="str">
        <f>IF('Adquisición 4'!G16=0,"",'Adquisición 4'!G16)</f>
        <v/>
      </c>
      <c r="AL29" s="187" t="str">
        <f>IF('Adquisición 4'!H16=0,"",'Adquisición 4'!H16)</f>
        <v/>
      </c>
      <c r="AM29" s="187" t="str">
        <f>IF('Adquisición 4'!I16=0,"",'Adquisición 4'!I16)</f>
        <v/>
      </c>
      <c r="AN29" s="98">
        <f t="shared" si="0"/>
        <v>8.5000000000000006E-3</v>
      </c>
      <c r="AO29" s="98">
        <f t="shared" si="1"/>
        <v>8.5000000000000006E-3</v>
      </c>
      <c r="AQ29" s="184" t="b">
        <f t="shared" si="3"/>
        <v>1</v>
      </c>
      <c r="AR29" s="184" t="b">
        <f t="shared" si="3"/>
        <v>1</v>
      </c>
      <c r="AS29" s="184" t="b">
        <f t="shared" si="3"/>
        <v>1</v>
      </c>
      <c r="AT29" s="184" t="b">
        <f t="shared" si="3"/>
        <v>1</v>
      </c>
      <c r="AU29" s="188" t="str">
        <f t="shared" si="4"/>
        <v>4.</v>
      </c>
      <c r="AV29" s="184" t="str">
        <f t="shared" si="5"/>
        <v>TCO</v>
      </c>
      <c r="AW29" s="189">
        <f t="shared" si="6"/>
        <v>8.5000000000000006E-3</v>
      </c>
    </row>
    <row r="30" spans="1:49" ht="45.75" customHeight="1" x14ac:dyDescent="0.3">
      <c r="A30" s="1">
        <v>21</v>
      </c>
      <c r="B30" s="168" t="s">
        <v>116</v>
      </c>
      <c r="C30" s="115" t="s">
        <v>99</v>
      </c>
      <c r="D30" s="169" t="s">
        <v>88</v>
      </c>
      <c r="E30" s="170" t="s">
        <v>122</v>
      </c>
      <c r="F30" s="180">
        <v>5.0000000000000001E-3</v>
      </c>
      <c r="G30" s="172" t="str">
        <f>Adquisición!F14</f>
        <v>Cumpre</v>
      </c>
      <c r="H30" s="173">
        <f>Adquisición!G14</f>
        <v>3.4999999999999996E-3</v>
      </c>
      <c r="I30" s="140">
        <f>Adquisición!H14</f>
        <v>3</v>
      </c>
      <c r="J30" s="140">
        <f>Adquisición!I14</f>
        <v>3</v>
      </c>
      <c r="K30" s="140" t="str">
        <f>Adquisición!J14</f>
        <v/>
      </c>
      <c r="L30" s="140" t="str">
        <f>Adquisición!K14</f>
        <v/>
      </c>
      <c r="M30" s="172" t="str">
        <f>Adquisición!L14</f>
        <v>Mais que Cumpre</v>
      </c>
      <c r="N30" s="174">
        <f>Adquisición!M14</f>
        <v>4.2500000000000003E-3</v>
      </c>
      <c r="O30" s="175">
        <f>Adquisición!N14</f>
        <v>0.82352941176470573</v>
      </c>
      <c r="P30" s="140" t="str">
        <f>Adquisición!O14</f>
        <v>-</v>
      </c>
      <c r="Q30" s="140" t="str">
        <f>Adquisición!P14</f>
        <v>-</v>
      </c>
      <c r="R30" s="140" t="str">
        <f>Adquisición!Q14</f>
        <v>-</v>
      </c>
      <c r="S30" s="140" t="str">
        <f>Adquisición!R14</f>
        <v>-</v>
      </c>
      <c r="T30" s="143">
        <f>Adquisición!S14</f>
        <v>3</v>
      </c>
      <c r="U30" s="177" t="str">
        <f>Adquisición!T14</f>
        <v>Baja</v>
      </c>
      <c r="V30" s="142" t="str">
        <f>IF(Adquisición!U14=0.5,"",Adquisición!U14)</f>
        <v/>
      </c>
      <c r="W30" s="142" t="str">
        <f>IF(Adquisición!V14=0.5,"",Adquisición!V14)</f>
        <v/>
      </c>
      <c r="X30" s="142" t="str">
        <f>IF(Adquisición!W14=0.5,"",Adquisición!W14)</f>
        <v/>
      </c>
      <c r="Y30" s="142" t="str">
        <f>IF(Adquisición!X14=0.5,"",Adquisición!X14)</f>
        <v/>
      </c>
      <c r="Z30" s="142" t="str">
        <f>IF(Adquisición!Y14=0.5,"",Adquisición!Y14)</f>
        <v/>
      </c>
      <c r="AA30" s="178" t="str">
        <f ca="1">Adquisición!Z14</f>
        <v>Finalizado</v>
      </c>
      <c r="AB30" s="172" t="str">
        <f>Adquisición!AA14</f>
        <v>Melhor Prática</v>
      </c>
      <c r="AC30" s="174">
        <f>Adquisición!AB14</f>
        <v>5.0000000000000001E-3</v>
      </c>
      <c r="AD30" s="175">
        <f>Adquisición!AC14</f>
        <v>1.1764705882352942</v>
      </c>
      <c r="AE30" s="140">
        <f>Adquisición!AD14</f>
        <v>3</v>
      </c>
      <c r="AF30" s="140">
        <f>Adquisición!AE14</f>
        <v>3</v>
      </c>
      <c r="AG30" s="140">
        <f>Adquisición!AF14</f>
        <v>3</v>
      </c>
      <c r="AH30" s="140">
        <f>Adquisición!AG14</f>
        <v>3</v>
      </c>
      <c r="AI30" s="187" t="str">
        <f>IF('Adquisición 5'!E16=0,"",'Adquisición 5'!E16)</f>
        <v>BC</v>
      </c>
      <c r="AJ30" s="187" t="str">
        <f>IF('Adquisición 5'!F16=0,"",'Adquisición 5'!F16)</f>
        <v/>
      </c>
      <c r="AK30" s="187" t="str">
        <f>IF('Adquisición 5'!G16=0,"",'Adquisición 5'!G16)</f>
        <v/>
      </c>
      <c r="AL30" s="187" t="str">
        <f>IF('Adquisición 5'!H16=0,"",'Adquisición 5'!H16)</f>
        <v/>
      </c>
      <c r="AM30" s="187" t="str">
        <f>IF('Adquisición 5'!I16=0,"",'Adquisición 5'!I16)</f>
        <v>X</v>
      </c>
      <c r="AN30" s="98">
        <f t="shared" si="0"/>
        <v>1.5000000000000005E-3</v>
      </c>
      <c r="AO30" s="98">
        <f t="shared" si="1"/>
        <v>7.5000000000000067E-4</v>
      </c>
      <c r="AQ30" s="184" t="b">
        <f t="shared" si="3"/>
        <v>1</v>
      </c>
      <c r="AR30" s="184" t="b">
        <f t="shared" si="3"/>
        <v>1</v>
      </c>
      <c r="AS30" s="184" t="b">
        <f t="shared" si="3"/>
        <v>1</v>
      </c>
      <c r="AT30" s="184" t="b">
        <f t="shared" si="3"/>
        <v>1</v>
      </c>
      <c r="AU30" s="188" t="str">
        <f t="shared" si="4"/>
        <v>5.</v>
      </c>
      <c r="AV30" s="184" t="str">
        <f t="shared" si="5"/>
        <v>Colaboração com o CEPG</v>
      </c>
      <c r="AW30" s="189">
        <f t="shared" si="6"/>
        <v>5.0000000000000001E-3</v>
      </c>
    </row>
    <row r="31" spans="1:49" ht="45.75" customHeight="1" x14ac:dyDescent="0.3">
      <c r="A31" s="1">
        <v>22</v>
      </c>
      <c r="B31" s="168" t="s">
        <v>123</v>
      </c>
      <c r="C31" s="115" t="s">
        <v>124</v>
      </c>
      <c r="D31" s="169" t="s">
        <v>79</v>
      </c>
      <c r="E31" s="181" t="s">
        <v>125</v>
      </c>
      <c r="F31" s="180">
        <v>1.4999999999999999E-2</v>
      </c>
      <c r="G31" s="172" t="str">
        <f>Control!F10</f>
        <v>Mais que cumpre</v>
      </c>
      <c r="H31" s="173">
        <f>Control!G10</f>
        <v>1.2749999999999999E-2</v>
      </c>
      <c r="I31" s="140">
        <f>Control!H10</f>
        <v>3</v>
      </c>
      <c r="J31" s="140">
        <f>Control!I10</f>
        <v>3</v>
      </c>
      <c r="K31" s="140">
        <f>Control!J10</f>
        <v>3</v>
      </c>
      <c r="L31" s="140" t="str">
        <f>Control!K10</f>
        <v/>
      </c>
      <c r="M31" s="172" t="str">
        <f>Control!L10</f>
        <v>Mais que Cumpre</v>
      </c>
      <c r="N31" s="174">
        <f>Control!M10</f>
        <v>1.2749999999999999E-2</v>
      </c>
      <c r="O31" s="175">
        <f>Control!N10</f>
        <v>1</v>
      </c>
      <c r="P31" s="140" t="str">
        <f>Control!O10</f>
        <v>-</v>
      </c>
      <c r="Q31" s="140" t="str">
        <f>Control!P10</f>
        <v>-</v>
      </c>
      <c r="R31" s="140" t="str">
        <f>Control!Q10</f>
        <v>D</v>
      </c>
      <c r="S31" s="140" t="str">
        <f>Control!R10</f>
        <v>D</v>
      </c>
      <c r="T31" s="143">
        <f>Control!S10</f>
        <v>1</v>
      </c>
      <c r="U31" s="177" t="str">
        <f>Control!T10</f>
        <v>No Planificado</v>
      </c>
      <c r="V31" s="142" t="str">
        <f>IF(Control!U10=0.5,"",Control!U10)</f>
        <v/>
      </c>
      <c r="W31" s="142" t="str">
        <f>IF(Control!V10=0.5,"",Control!V10)</f>
        <v/>
      </c>
      <c r="X31" s="142" t="str">
        <f>IF(Control!W10=0.5,"",Control!W10)</f>
        <v/>
      </c>
      <c r="Y31" s="142" t="str">
        <f>IF(Control!X10=0.5,"",Control!X10)</f>
        <v/>
      </c>
      <c r="Z31" s="142" t="str">
        <f>IF(Control!Y10=0.5,"",Control!Y10)</f>
        <v/>
      </c>
      <c r="AA31" s="178" t="str">
        <f ca="1">Control!Z10</f>
        <v>A Tiempo</v>
      </c>
      <c r="AB31" s="172" t="str">
        <f>Control!AA10</f>
        <v>Mais que cumpre</v>
      </c>
      <c r="AC31" s="174">
        <f>Control!AB10</f>
        <v>1.2749999999999999E-2</v>
      </c>
      <c r="AD31" s="175">
        <f>Control!AC10</f>
        <v>1</v>
      </c>
      <c r="AE31" s="140">
        <f>Control!AD10</f>
        <v>3</v>
      </c>
      <c r="AF31" s="140">
        <f>Control!AE10</f>
        <v>3</v>
      </c>
      <c r="AG31" s="140">
        <f>Control!AF10</f>
        <v>3</v>
      </c>
      <c r="AH31" s="140" t="str">
        <f>Control!AG10</f>
        <v/>
      </c>
      <c r="AI31" s="187" t="str">
        <f>IF('Control 1'!E16=0,"",'Control 1'!E16)</f>
        <v>BC</v>
      </c>
      <c r="AJ31" s="187" t="str">
        <f>IF('Control 1'!F16=0,"",'Control 1'!F16)</f>
        <v/>
      </c>
      <c r="AK31" s="187" t="str">
        <f>IF('Control 1'!G16=0,"",'Control 1'!G16)</f>
        <v/>
      </c>
      <c r="AL31" s="187" t="str">
        <f>IF('Control 1'!H16=0,"",'Control 1'!H16)</f>
        <v>X</v>
      </c>
      <c r="AM31" s="187" t="str">
        <f>IF('Control 1'!I16=0,"",'Control 1'!I16)</f>
        <v/>
      </c>
      <c r="AN31" s="98">
        <f t="shared" si="0"/>
        <v>0</v>
      </c>
      <c r="AO31" s="98">
        <f t="shared" si="1"/>
        <v>0</v>
      </c>
      <c r="AQ31" s="184" t="b">
        <f t="shared" si="3"/>
        <v>1</v>
      </c>
      <c r="AR31" s="184" t="b">
        <f t="shared" si="3"/>
        <v>1</v>
      </c>
      <c r="AS31" s="184" t="b">
        <f t="shared" si="3"/>
        <v>1</v>
      </c>
      <c r="AT31" s="184" t="b">
        <f t="shared" si="3"/>
        <v>1</v>
      </c>
      <c r="AU31" s="188" t="str">
        <f t="shared" si="4"/>
        <v>1.</v>
      </c>
      <c r="AV31" s="184" t="str">
        <f t="shared" si="5"/>
        <v>Controle de movimentos e estoque de EDF</v>
      </c>
      <c r="AW31" s="189">
        <f t="shared" si="6"/>
        <v>1.2749999999999999E-2</v>
      </c>
    </row>
    <row r="32" spans="1:49" ht="45.75" customHeight="1" x14ac:dyDescent="0.3">
      <c r="A32" s="1">
        <v>23</v>
      </c>
      <c r="B32" s="168" t="s">
        <v>123</v>
      </c>
      <c r="C32" s="115" t="s">
        <v>124</v>
      </c>
      <c r="D32" s="169" t="s">
        <v>81</v>
      </c>
      <c r="E32" s="170" t="s">
        <v>126</v>
      </c>
      <c r="F32" s="171">
        <v>1.4999999999999999E-2</v>
      </c>
      <c r="G32" s="172" t="str">
        <f>Control!F11</f>
        <v>Mais que cumpre</v>
      </c>
      <c r="H32" s="173">
        <f>Control!G11</f>
        <v>1.2749999999999999E-2</v>
      </c>
      <c r="I32" s="140">
        <f>Control!H11</f>
        <v>3</v>
      </c>
      <c r="J32" s="140">
        <f>Control!I11</f>
        <v>3</v>
      </c>
      <c r="K32" s="140">
        <f>Control!J11</f>
        <v>3</v>
      </c>
      <c r="L32" s="140" t="str">
        <f>Control!K11</f>
        <v/>
      </c>
      <c r="M32" s="172" t="str">
        <f>Control!L11</f>
        <v>Mais que Cumpre</v>
      </c>
      <c r="N32" s="174">
        <f>Control!M11</f>
        <v>1.2749999999999999E-2</v>
      </c>
      <c r="O32" s="175">
        <f>Control!N11</f>
        <v>1</v>
      </c>
      <c r="P32" s="140" t="str">
        <f>Control!O11</f>
        <v>-</v>
      </c>
      <c r="Q32" s="140" t="str">
        <f>Control!P11</f>
        <v>-</v>
      </c>
      <c r="R32" s="140" t="str">
        <f>Control!Q11</f>
        <v>-</v>
      </c>
      <c r="S32" s="140" t="str">
        <f>Control!R11</f>
        <v>-</v>
      </c>
      <c r="T32" s="143">
        <f>Control!S11</f>
        <v>1</v>
      </c>
      <c r="U32" s="177" t="str">
        <f>Control!T11</f>
        <v>No Planificado</v>
      </c>
      <c r="V32" s="142" t="str">
        <f>IF(Control!U11=0.5,"",Control!U11)</f>
        <v/>
      </c>
      <c r="W32" s="142" t="str">
        <f>IF(Control!V11=0.5,"",Control!V11)</f>
        <v/>
      </c>
      <c r="X32" s="142" t="str">
        <f>IF(Control!W11=0.5,"",Control!W11)</f>
        <v/>
      </c>
      <c r="Y32" s="142" t="str">
        <f>IF(Control!X11=0.5,"",Control!X11)</f>
        <v/>
      </c>
      <c r="Z32" s="142" t="str">
        <f>IF(Control!Y11=0.5,"",Control!Y11)</f>
        <v/>
      </c>
      <c r="AA32" s="178" t="str">
        <f ca="1">Control!Z11</f>
        <v>A Tiempo</v>
      </c>
      <c r="AB32" s="172" t="str">
        <f>Control!AA11</f>
        <v>Mais que cumpre</v>
      </c>
      <c r="AC32" s="174">
        <f>Control!AB11</f>
        <v>1.2749999999999999E-2</v>
      </c>
      <c r="AD32" s="175">
        <f>Control!AC11</f>
        <v>1</v>
      </c>
      <c r="AE32" s="140">
        <f>Control!AD11</f>
        <v>3</v>
      </c>
      <c r="AF32" s="140">
        <f>Control!AE11</f>
        <v>3</v>
      </c>
      <c r="AG32" s="140">
        <f>Control!AF11</f>
        <v>3</v>
      </c>
      <c r="AH32" s="140">
        <f>Control!AG11</f>
        <v>2</v>
      </c>
      <c r="AI32" s="187" t="str">
        <f>IF('Control 2'!E16=0,"",'Control 2'!E16)</f>
        <v>NBC</v>
      </c>
      <c r="AJ32" s="187" t="str">
        <f>IF('Control 2'!F16=0,"",'Control 2'!F16)</f>
        <v/>
      </c>
      <c r="AK32" s="187" t="str">
        <f>IF('Control 2'!G16=0,"",'Control 2'!G16)</f>
        <v/>
      </c>
      <c r="AL32" s="187" t="str">
        <f>IF('Control 2'!H16=0,"",'Control 2'!H16)</f>
        <v/>
      </c>
      <c r="AM32" s="187" t="str">
        <f>IF('Control 2'!I16=0,"",'Control 2'!I16)</f>
        <v/>
      </c>
      <c r="AN32" s="98">
        <f t="shared" si="0"/>
        <v>0</v>
      </c>
      <c r="AO32" s="98">
        <f t="shared" si="1"/>
        <v>0</v>
      </c>
      <c r="AQ32" s="184" t="b">
        <f t="shared" si="3"/>
        <v>1</v>
      </c>
      <c r="AR32" s="184" t="b">
        <f t="shared" si="3"/>
        <v>1</v>
      </c>
      <c r="AS32" s="184" t="b">
        <f t="shared" si="3"/>
        <v>1</v>
      </c>
      <c r="AT32" s="184" t="b">
        <f t="shared" si="3"/>
        <v>1</v>
      </c>
      <c r="AU32" s="188" t="str">
        <f t="shared" si="4"/>
        <v>2.</v>
      </c>
      <c r="AV32" s="184" t="str">
        <f t="shared" si="5"/>
        <v>Política de armazenamento</v>
      </c>
      <c r="AW32" s="189">
        <f t="shared" si="6"/>
        <v>1.2749999999999999E-2</v>
      </c>
    </row>
    <row r="33" spans="1:49" ht="45.75" customHeight="1" x14ac:dyDescent="0.3">
      <c r="A33" s="1">
        <v>24</v>
      </c>
      <c r="B33" s="168" t="s">
        <v>123</v>
      </c>
      <c r="C33" s="115" t="s">
        <v>124</v>
      </c>
      <c r="D33" s="169" t="s">
        <v>83</v>
      </c>
      <c r="E33" s="181" t="s">
        <v>127</v>
      </c>
      <c r="F33" s="180">
        <v>5.0000000000000001E-3</v>
      </c>
      <c r="G33" s="172" t="str">
        <f>Control!F12</f>
        <v>Parcial</v>
      </c>
      <c r="H33" s="173">
        <f>Control!G12</f>
        <v>2E-3</v>
      </c>
      <c r="I33" s="140">
        <f>Control!H12</f>
        <v>3</v>
      </c>
      <c r="J33" s="140">
        <f>Control!I12</f>
        <v>2</v>
      </c>
      <c r="K33" s="140">
        <f>Control!J12</f>
        <v>3</v>
      </c>
      <c r="L33" s="140" t="str">
        <f>Control!K12</f>
        <v/>
      </c>
      <c r="M33" s="172" t="str">
        <f>Control!L12</f>
        <v>Melhor Prática</v>
      </c>
      <c r="N33" s="174">
        <f>Control!M12</f>
        <v>5.0000000000000001E-3</v>
      </c>
      <c r="O33" s="175">
        <f>Control!N12</f>
        <v>0.4</v>
      </c>
      <c r="P33" s="140" t="str">
        <f>Control!O12</f>
        <v>-</v>
      </c>
      <c r="Q33" s="140" t="str">
        <f>Control!P12</f>
        <v>-</v>
      </c>
      <c r="R33" s="140" t="str">
        <f>Control!Q12</f>
        <v>-</v>
      </c>
      <c r="S33" s="140" t="str">
        <f>Control!R12</f>
        <v>-</v>
      </c>
      <c r="T33" s="143">
        <f>Control!S12</f>
        <v>3</v>
      </c>
      <c r="U33" s="177" t="str">
        <f>Control!T12</f>
        <v>Baja</v>
      </c>
      <c r="V33" s="142" t="str">
        <f>IF(Control!U12=0.5,"",Control!U12)</f>
        <v/>
      </c>
      <c r="W33" s="142" t="str">
        <f>IF(Control!V12=0.5,"",Control!V12)</f>
        <v/>
      </c>
      <c r="X33" s="142" t="str">
        <f>IF(Control!W12=0.5,"",Control!W12)</f>
        <v/>
      </c>
      <c r="Y33" s="142" t="str">
        <f>IF(Control!X12=0.5,"",Control!X12)</f>
        <v/>
      </c>
      <c r="Z33" s="142" t="str">
        <f>IF(Control!Y12=0.5,"",Control!Y12)</f>
        <v/>
      </c>
      <c r="AA33" s="178" t="str">
        <f ca="1">Control!Z12</f>
        <v>A Tiempo</v>
      </c>
      <c r="AB33" s="172" t="str">
        <f>Control!AA12</f>
        <v>Melhor Prática</v>
      </c>
      <c r="AC33" s="174">
        <f>Control!AB12</f>
        <v>5.0000000000000001E-3</v>
      </c>
      <c r="AD33" s="175">
        <f>Control!AC12</f>
        <v>1</v>
      </c>
      <c r="AE33" s="140">
        <f>Control!AD12</f>
        <v>3</v>
      </c>
      <c r="AF33" s="140">
        <f>Control!AE12</f>
        <v>3</v>
      </c>
      <c r="AG33" s="140">
        <f>Control!AF12</f>
        <v>3</v>
      </c>
      <c r="AH33" s="140">
        <f>Control!AG12</f>
        <v>3</v>
      </c>
      <c r="AI33" s="187" t="str">
        <f>IF('Control 3'!E16=0,"",'Control 3'!E16)</f>
        <v>BC</v>
      </c>
      <c r="AJ33" s="187" t="str">
        <f>IF('Control 3'!F16=0,"",'Control 3'!F16)</f>
        <v>X</v>
      </c>
      <c r="AK33" s="187" t="str">
        <f>IF('Control 3'!G16=0,"",'Control 3'!G16)</f>
        <v/>
      </c>
      <c r="AL33" s="187" t="str">
        <f>IF('Control 3'!H16=0,"",'Control 3'!H16)</f>
        <v>X</v>
      </c>
      <c r="AM33" s="187" t="str">
        <f>IF('Control 3'!I16=0,"",'Control 3'!I16)</f>
        <v/>
      </c>
      <c r="AN33" s="98">
        <f t="shared" si="0"/>
        <v>3.0000000000000001E-3</v>
      </c>
      <c r="AO33" s="98">
        <f t="shared" si="1"/>
        <v>3.0000000000000001E-3</v>
      </c>
      <c r="AQ33" s="184" t="b">
        <f t="shared" si="3"/>
        <v>1</v>
      </c>
      <c r="AR33" s="184" t="b">
        <f t="shared" si="3"/>
        <v>1</v>
      </c>
      <c r="AS33" s="184" t="b">
        <f t="shared" si="3"/>
        <v>1</v>
      </c>
      <c r="AT33" s="184" t="b">
        <f t="shared" si="3"/>
        <v>1</v>
      </c>
      <c r="AU33" s="188" t="str">
        <f t="shared" si="4"/>
        <v>3.</v>
      </c>
      <c r="AV33" s="184" t="str">
        <f t="shared" si="5"/>
        <v>Programa de qualidade</v>
      </c>
      <c r="AW33" s="189">
        <f t="shared" si="6"/>
        <v>5.0000000000000001E-3</v>
      </c>
    </row>
    <row r="34" spans="1:49" ht="45.75" customHeight="1" x14ac:dyDescent="0.3">
      <c r="A34" s="1">
        <v>25</v>
      </c>
      <c r="B34" s="168" t="s">
        <v>123</v>
      </c>
      <c r="C34" s="115" t="s">
        <v>124</v>
      </c>
      <c r="D34" s="169" t="s">
        <v>85</v>
      </c>
      <c r="E34" s="170" t="s">
        <v>128</v>
      </c>
      <c r="F34" s="171">
        <v>1.4999999999999999E-2</v>
      </c>
      <c r="G34" s="172" t="str">
        <f>Control!F13</f>
        <v>Parcial</v>
      </c>
      <c r="H34" s="173">
        <f>Control!G13</f>
        <v>6.0000000000000001E-3</v>
      </c>
      <c r="I34" s="140">
        <f>Control!H13</f>
        <v>3</v>
      </c>
      <c r="J34" s="140">
        <f>Control!I13</f>
        <v>2</v>
      </c>
      <c r="K34" s="140">
        <f>Control!J13</f>
        <v>1</v>
      </c>
      <c r="L34" s="140">
        <f>Control!K13</f>
        <v>3</v>
      </c>
      <c r="M34" s="172" t="str">
        <f>Control!L13</f>
        <v>Melhor Prática</v>
      </c>
      <c r="N34" s="174">
        <f>Control!M13</f>
        <v>1.4999999999999999E-2</v>
      </c>
      <c r="O34" s="175">
        <f>Control!N13</f>
        <v>0.4</v>
      </c>
      <c r="P34" s="140" t="str">
        <f>Control!O13</f>
        <v>-</v>
      </c>
      <c r="Q34" s="140" t="str">
        <f>Control!P13</f>
        <v>-</v>
      </c>
      <c r="R34" s="140" t="str">
        <f>Control!Q13</f>
        <v>-</v>
      </c>
      <c r="S34" s="140" t="str">
        <f>Control!R13</f>
        <v>-</v>
      </c>
      <c r="T34" s="143">
        <f>Control!S13</f>
        <v>3</v>
      </c>
      <c r="U34" s="177" t="str">
        <f>Control!T13</f>
        <v>Alta</v>
      </c>
      <c r="V34" s="142" t="str">
        <f>IF(Control!U13=0.5,"",Control!U13)</f>
        <v/>
      </c>
      <c r="W34" s="142" t="str">
        <f>IF(Control!V13=0.5,"",Control!V13)</f>
        <v/>
      </c>
      <c r="X34" s="142" t="str">
        <f>IF(Control!W13=0.5,"",Control!W13)</f>
        <v/>
      </c>
      <c r="Y34" s="142" t="str">
        <f>IF(Control!X13=0.5,"",Control!X13)</f>
        <v/>
      </c>
      <c r="Z34" s="142" t="str">
        <f>IF(Control!Y13=0.5,"",Control!Y13)</f>
        <v/>
      </c>
      <c r="AA34" s="178" t="str">
        <f ca="1">Control!Z13</f>
        <v>Retrasado</v>
      </c>
      <c r="AB34" s="172" t="str">
        <f>Control!AA13</f>
        <v>Melhor Prática</v>
      </c>
      <c r="AC34" s="174">
        <f>Control!AB13</f>
        <v>1.4999999999999999E-2</v>
      </c>
      <c r="AD34" s="175">
        <f>Control!AC13</f>
        <v>1</v>
      </c>
      <c r="AE34" s="140">
        <f>Control!AD13</f>
        <v>3</v>
      </c>
      <c r="AF34" s="140">
        <f>Control!AE13</f>
        <v>3</v>
      </c>
      <c r="AG34" s="140">
        <f>Control!AF13</f>
        <v>3</v>
      </c>
      <c r="AH34" s="140">
        <f>Control!AG13</f>
        <v>3</v>
      </c>
      <c r="AI34" s="187" t="str">
        <f>IF('Control 4'!E16=0,"",'Control 4'!E16)</f>
        <v>NBC</v>
      </c>
      <c r="AJ34" s="187" t="str">
        <f>IF('Control 4'!F16=0,"",'Control 4'!F16)</f>
        <v/>
      </c>
      <c r="AK34" s="187" t="str">
        <f>IF('Control 4'!G16=0,"",'Control 4'!G16)</f>
        <v/>
      </c>
      <c r="AL34" s="187" t="str">
        <f>IF('Control 4'!H16=0,"",'Control 4'!H16)</f>
        <v/>
      </c>
      <c r="AM34" s="187" t="str">
        <f>IF('Control 4'!I16=0,"",'Control 4'!I16)</f>
        <v/>
      </c>
      <c r="AN34" s="98">
        <f t="shared" si="0"/>
        <v>8.9999999999999993E-3</v>
      </c>
      <c r="AO34" s="98">
        <f t="shared" si="1"/>
        <v>8.9999999999999993E-3</v>
      </c>
      <c r="AQ34" s="184" t="b">
        <f t="shared" si="3"/>
        <v>1</v>
      </c>
      <c r="AR34" s="184" t="b">
        <f t="shared" si="3"/>
        <v>1</v>
      </c>
      <c r="AS34" s="184" t="b">
        <f t="shared" si="3"/>
        <v>1</v>
      </c>
      <c r="AT34" s="184" t="b">
        <f t="shared" si="3"/>
        <v>1</v>
      </c>
      <c r="AU34" s="188" t="str">
        <f t="shared" si="4"/>
        <v>4.</v>
      </c>
      <c r="AV34" s="184" t="str">
        <f t="shared" si="5"/>
        <v>Transporte de equipamentos</v>
      </c>
      <c r="AW34" s="189">
        <f t="shared" si="6"/>
        <v>1.4999999999999999E-2</v>
      </c>
    </row>
    <row r="35" spans="1:49" ht="45.75" customHeight="1" x14ac:dyDescent="0.3">
      <c r="A35" s="1">
        <v>26</v>
      </c>
      <c r="B35" s="168" t="s">
        <v>123</v>
      </c>
      <c r="C35" s="115" t="s">
        <v>129</v>
      </c>
      <c r="D35" s="169" t="s">
        <v>88</v>
      </c>
      <c r="E35" s="181" t="s">
        <v>130</v>
      </c>
      <c r="F35" s="180">
        <v>0.02</v>
      </c>
      <c r="G35" s="172" t="str">
        <f>Control!F14</f>
        <v>Não cumpre</v>
      </c>
      <c r="H35" s="173">
        <f>Control!G14</f>
        <v>0</v>
      </c>
      <c r="I35" s="140">
        <f>Control!H14</f>
        <v>1</v>
      </c>
      <c r="J35" s="140">
        <f>Control!I14</f>
        <v>3</v>
      </c>
      <c r="K35" s="140">
        <f>Control!J14</f>
        <v>1</v>
      </c>
      <c r="L35" s="140">
        <f>Control!K14</f>
        <v>1</v>
      </c>
      <c r="M35" s="172" t="str">
        <f>Control!L14</f>
        <v>Mais que Cumpre</v>
      </c>
      <c r="N35" s="174">
        <f>Control!M14</f>
        <v>1.7000000000000001E-2</v>
      </c>
      <c r="O35" s="175">
        <f>Control!N14</f>
        <v>0</v>
      </c>
      <c r="P35" s="140" t="str">
        <f>Control!O14</f>
        <v>-</v>
      </c>
      <c r="Q35" s="140" t="str">
        <f>Control!P14</f>
        <v>D</v>
      </c>
      <c r="R35" s="140" t="str">
        <f>Control!Q14</f>
        <v>D</v>
      </c>
      <c r="S35" s="140" t="str">
        <f>Control!R14</f>
        <v>D</v>
      </c>
      <c r="T35" s="143">
        <f>Control!S14</f>
        <v>2</v>
      </c>
      <c r="U35" s="177" t="str">
        <f>Control!T14</f>
        <v/>
      </c>
      <c r="V35" s="142" t="str">
        <f>IF(Control!U14=0.5,"",Control!U14)</f>
        <v/>
      </c>
      <c r="W35" s="142" t="str">
        <f>IF(Control!V14=0.5,"",Control!V14)</f>
        <v/>
      </c>
      <c r="X35" s="142" t="str">
        <f>IF(Control!W14=0.5,"",Control!W14)</f>
        <v/>
      </c>
      <c r="Y35" s="142" t="str">
        <f>IF(Control!X14=0.5,"",Control!X14)</f>
        <v/>
      </c>
      <c r="Z35" s="142" t="str">
        <f>IF(Control!Y14=0.5,"",Control!Y14)</f>
        <v/>
      </c>
      <c r="AA35" s="178" t="str">
        <f ca="1">Control!Z14</f>
        <v>No Planificado</v>
      </c>
      <c r="AB35" s="172" t="str">
        <f>Control!AA14</f>
        <v>Mais que cumpre</v>
      </c>
      <c r="AC35" s="174">
        <f>Control!AB14</f>
        <v>1.7000000000000001E-2</v>
      </c>
      <c r="AD35" s="175">
        <f>Control!AC14</f>
        <v>1</v>
      </c>
      <c r="AE35" s="140">
        <f>Control!AD14</f>
        <v>3</v>
      </c>
      <c r="AF35" s="140">
        <f>Control!AE14</f>
        <v>3</v>
      </c>
      <c r="AG35" s="140">
        <f>Control!AF14</f>
        <v>3</v>
      </c>
      <c r="AH35" s="140">
        <f>Control!AG14</f>
        <v>1</v>
      </c>
      <c r="AI35" s="187" t="str">
        <f>IF('Control 5'!E16=0,"",'Control 5'!E16)</f>
        <v>BC</v>
      </c>
      <c r="AJ35" s="187" t="str">
        <f>IF('Control 5'!F16=0,"",'Control 5'!F16)</f>
        <v/>
      </c>
      <c r="AK35" s="187" t="str">
        <f>IF('Control 5'!G16=0,"",'Control 5'!G16)</f>
        <v/>
      </c>
      <c r="AL35" s="187" t="str">
        <f>IF('Control 5'!H16=0,"",'Control 5'!H16)</f>
        <v>X</v>
      </c>
      <c r="AM35" s="187" t="str">
        <f>IF('Control 5'!I16=0,"",'Control 5'!I16)</f>
        <v/>
      </c>
      <c r="AN35" s="98">
        <f t="shared" si="0"/>
        <v>1.7000000000000001E-2</v>
      </c>
      <c r="AO35" s="98">
        <f t="shared" si="1"/>
        <v>1.7000000000000001E-2</v>
      </c>
      <c r="AQ35" s="184" t="b">
        <f t="shared" si="3"/>
        <v>1</v>
      </c>
      <c r="AR35" s="184" t="b">
        <f t="shared" si="3"/>
        <v>1</v>
      </c>
      <c r="AS35" s="184" t="b">
        <f t="shared" si="3"/>
        <v>1</v>
      </c>
      <c r="AT35" s="184" t="b">
        <f t="shared" si="3"/>
        <v>1</v>
      </c>
      <c r="AU35" s="188" t="str">
        <f t="shared" si="4"/>
        <v>5.</v>
      </c>
      <c r="AV35" s="184" t="str">
        <f t="shared" si="5"/>
        <v>Otimização de equipamentos no estoque</v>
      </c>
      <c r="AW35" s="189">
        <f t="shared" si="6"/>
        <v>1.7000000000000001E-2</v>
      </c>
    </row>
    <row r="36" spans="1:49" ht="45.75" customHeight="1" x14ac:dyDescent="0.3">
      <c r="A36" s="1">
        <v>27</v>
      </c>
      <c r="B36" s="168" t="s">
        <v>123</v>
      </c>
      <c r="C36" s="115" t="s">
        <v>131</v>
      </c>
      <c r="D36" s="169" t="s">
        <v>90</v>
      </c>
      <c r="E36" s="181" t="s">
        <v>132</v>
      </c>
      <c r="F36" s="180">
        <v>0.01</v>
      </c>
      <c r="G36" s="172" t="str">
        <f>Control!F15</f>
        <v>Não cumpre</v>
      </c>
      <c r="H36" s="173">
        <f>Control!G15</f>
        <v>0</v>
      </c>
      <c r="I36" s="140">
        <f>Control!H15</f>
        <v>2</v>
      </c>
      <c r="J36" s="140">
        <f>Control!I15</f>
        <v>1</v>
      </c>
      <c r="K36" s="140">
        <f>Control!J15</f>
        <v>1</v>
      </c>
      <c r="L36" s="140">
        <f>Control!K15</f>
        <v>1</v>
      </c>
      <c r="M36" s="172" t="str">
        <f>Control!L15</f>
        <v>Melhor Prática</v>
      </c>
      <c r="N36" s="174">
        <f>Control!M15</f>
        <v>0.01</v>
      </c>
      <c r="O36" s="175">
        <f>Control!N15</f>
        <v>0</v>
      </c>
      <c r="P36" s="140" t="str">
        <f>Control!O15</f>
        <v>-</v>
      </c>
      <c r="Q36" s="140" t="str">
        <f>Control!P15</f>
        <v>D</v>
      </c>
      <c r="R36" s="140" t="str">
        <f>Control!Q15</f>
        <v>D</v>
      </c>
      <c r="S36" s="140" t="str">
        <f>Control!R15</f>
        <v>-</v>
      </c>
      <c r="T36" s="143">
        <f>Control!S15</f>
        <v>3</v>
      </c>
      <c r="U36" s="177" t="str">
        <f>Control!T15</f>
        <v>Alta</v>
      </c>
      <c r="V36" s="142" t="str">
        <f>IF(Control!U15=0.5,"",Control!U15)</f>
        <v/>
      </c>
      <c r="W36" s="142" t="str">
        <f>IF(Control!V15=0.5,"",Control!V15)</f>
        <v/>
      </c>
      <c r="X36" s="142" t="str">
        <f>IF(Control!W15=0.5,"",Control!W15)</f>
        <v/>
      </c>
      <c r="Y36" s="142" t="str">
        <f>IF(Control!X15=0.5,"",Control!X15)</f>
        <v/>
      </c>
      <c r="Z36" s="142" t="str">
        <f>IF(Control!Y15=0.5,"",Control!Y15)</f>
        <v/>
      </c>
      <c r="AA36" s="178" t="str">
        <f ca="1">Control!Z15</f>
        <v>Retrasado</v>
      </c>
      <c r="AB36" s="172" t="str">
        <f>Control!AA15</f>
        <v>Melhor Prática</v>
      </c>
      <c r="AC36" s="174">
        <f>Control!AB15</f>
        <v>0.01</v>
      </c>
      <c r="AD36" s="175">
        <f>Control!AC15</f>
        <v>1</v>
      </c>
      <c r="AE36" s="140">
        <f>Control!AD15</f>
        <v>3</v>
      </c>
      <c r="AF36" s="140">
        <f>Control!AE15</f>
        <v>3</v>
      </c>
      <c r="AG36" s="140">
        <f>Control!AF15</f>
        <v>3</v>
      </c>
      <c r="AH36" s="140">
        <f>Control!AG15</f>
        <v>3</v>
      </c>
      <c r="AI36" s="187" t="str">
        <f>IF('Control 6'!E16=0,"",'Control 6'!E16)</f>
        <v>BC</v>
      </c>
      <c r="AJ36" s="187" t="str">
        <f>IF('Control 6'!F16=0,"",'Control 6'!F16)</f>
        <v/>
      </c>
      <c r="AK36" s="187" t="str">
        <f>IF('Control 6'!G16=0,"",'Control 6'!G16)</f>
        <v/>
      </c>
      <c r="AL36" s="187" t="str">
        <f>IF('Control 6'!H16=0,"",'Control 6'!H16)</f>
        <v>x</v>
      </c>
      <c r="AM36" s="187" t="str">
        <f>IF('Control 6'!I16=0,"",'Control 6'!I16)</f>
        <v>X</v>
      </c>
      <c r="AN36" s="98">
        <f t="shared" si="0"/>
        <v>0.01</v>
      </c>
      <c r="AO36" s="98">
        <f t="shared" si="1"/>
        <v>0.01</v>
      </c>
      <c r="AQ36" s="184" t="b">
        <f t="shared" si="3"/>
        <v>1</v>
      </c>
      <c r="AR36" s="184" t="b">
        <f t="shared" si="3"/>
        <v>1</v>
      </c>
      <c r="AS36" s="184" t="b">
        <f t="shared" si="3"/>
        <v>1</v>
      </c>
      <c r="AT36" s="184" t="b">
        <f t="shared" si="3"/>
        <v>1</v>
      </c>
      <c r="AU36" s="188" t="str">
        <f t="shared" si="4"/>
        <v>6.</v>
      </c>
      <c r="AV36" s="184" t="str">
        <f t="shared" si="5"/>
        <v>Prevenção de movimentos irregulares</v>
      </c>
      <c r="AW36" s="189">
        <f t="shared" si="6"/>
        <v>0.01</v>
      </c>
    </row>
    <row r="37" spans="1:49" ht="45.75" customHeight="1" x14ac:dyDescent="0.3">
      <c r="A37" s="1">
        <v>28</v>
      </c>
      <c r="B37" s="168" t="s">
        <v>123</v>
      </c>
      <c r="C37" s="115" t="s">
        <v>131</v>
      </c>
      <c r="D37" s="169" t="s">
        <v>93</v>
      </c>
      <c r="E37" s="181" t="s">
        <v>133</v>
      </c>
      <c r="F37" s="180">
        <v>0.01</v>
      </c>
      <c r="G37" s="172" t="str">
        <f>Control!F16</f>
        <v/>
      </c>
      <c r="H37" s="173">
        <f>Control!G16</f>
        <v>0</v>
      </c>
      <c r="I37" s="140" t="str">
        <f>Control!H16</f>
        <v/>
      </c>
      <c r="J37" s="140" t="str">
        <f>Control!I16</f>
        <v/>
      </c>
      <c r="K37" s="140" t="str">
        <f>Control!J16</f>
        <v/>
      </c>
      <c r="L37" s="140" t="str">
        <f>Control!K16</f>
        <v/>
      </c>
      <c r="M37" s="172" t="str">
        <f>Control!L16</f>
        <v>Mais que Cumpre</v>
      </c>
      <c r="N37" s="174">
        <f>Control!M16</f>
        <v>8.5000000000000006E-3</v>
      </c>
      <c r="O37" s="175">
        <f>Control!N16</f>
        <v>0</v>
      </c>
      <c r="P37" s="140" t="str">
        <f>Control!O16</f>
        <v>-</v>
      </c>
      <c r="Q37" s="140" t="str">
        <f>Control!P16</f>
        <v>D</v>
      </c>
      <c r="R37" s="140" t="str">
        <f>Control!Q16</f>
        <v>-</v>
      </c>
      <c r="S37" s="140" t="str">
        <f>Control!R16</f>
        <v>-</v>
      </c>
      <c r="T37" s="143">
        <f>Control!S16</f>
        <v>1</v>
      </c>
      <c r="U37" s="177" t="str">
        <f>Control!T16</f>
        <v>Baja</v>
      </c>
      <c r="V37" s="142" t="str">
        <f>IF(Control!U16=0.5,"",Control!U16)</f>
        <v/>
      </c>
      <c r="W37" s="142" t="str">
        <f>IF(Control!V16=0.5,"",Control!V16)</f>
        <v/>
      </c>
      <c r="X37" s="142" t="str">
        <f>IF(Control!W16=0.5,"",Control!W16)</f>
        <v/>
      </c>
      <c r="Y37" s="142" t="str">
        <f>IF(Control!X16=0.5,"",Control!X16)</f>
        <v/>
      </c>
      <c r="Z37" s="142" t="str">
        <f>IF(Control!Y16=0.5,"",Control!Y16)</f>
        <v/>
      </c>
      <c r="AA37" s="178" t="str">
        <f ca="1">Control!Z16</f>
        <v>Retrasado</v>
      </c>
      <c r="AB37" s="172" t="str">
        <f>Control!AA16</f>
        <v>Não cumpre</v>
      </c>
      <c r="AC37" s="174">
        <f>Control!AB16</f>
        <v>0</v>
      </c>
      <c r="AD37" s="175">
        <f>Control!AC16</f>
        <v>0</v>
      </c>
      <c r="AE37" s="140">
        <f>Control!AD16</f>
        <v>1</v>
      </c>
      <c r="AF37" s="140" t="str">
        <f>Control!AE16</f>
        <v/>
      </c>
      <c r="AG37" s="140" t="str">
        <f>Control!AF16</f>
        <v/>
      </c>
      <c r="AH37" s="140" t="str">
        <f>Control!AG16</f>
        <v/>
      </c>
      <c r="AI37" s="187" t="str">
        <f>IF('Control 7'!E16=0,"",'Control 7'!E16)</f>
        <v>NBC</v>
      </c>
      <c r="AJ37" s="187" t="str">
        <f>IF('Control 7'!F16=0,"",'Control 7'!F16)</f>
        <v/>
      </c>
      <c r="AK37" s="187" t="str">
        <f>IF('Control 7'!G16=0,"",'Control 7'!G16)</f>
        <v/>
      </c>
      <c r="AL37" s="187" t="str">
        <f>IF('Control 7'!H16=0,"",'Control 7'!H16)</f>
        <v/>
      </c>
      <c r="AM37" s="187" t="str">
        <f>IF('Control 7'!I16=0,"",'Control 7'!I16)</f>
        <v/>
      </c>
      <c r="AN37" s="98">
        <f t="shared" si="0"/>
        <v>0</v>
      </c>
      <c r="AO37" s="98">
        <f t="shared" si="1"/>
        <v>8.5000000000000006E-3</v>
      </c>
      <c r="AQ37" s="184" t="b">
        <f t="shared" si="3"/>
        <v>1</v>
      </c>
      <c r="AR37" s="184" t="b">
        <f t="shared" si="3"/>
        <v>1</v>
      </c>
      <c r="AS37" s="184" t="b">
        <f t="shared" si="3"/>
        <v>1</v>
      </c>
      <c r="AT37" s="184" t="b">
        <f t="shared" si="3"/>
        <v>1</v>
      </c>
      <c r="AU37" s="188" t="str">
        <f t="shared" si="4"/>
        <v>7.</v>
      </c>
      <c r="AV37" s="184" t="str">
        <f t="shared" si="5"/>
        <v>Reforço dos termos contratuais acordados</v>
      </c>
      <c r="AW37" s="189">
        <f t="shared" si="6"/>
        <v>0</v>
      </c>
    </row>
    <row r="38" spans="1:49" ht="45.75" customHeight="1" x14ac:dyDescent="0.3">
      <c r="A38" s="1">
        <v>29</v>
      </c>
      <c r="B38" s="168" t="s">
        <v>123</v>
      </c>
      <c r="C38" s="115" t="s">
        <v>131</v>
      </c>
      <c r="D38" s="169" t="s">
        <v>95</v>
      </c>
      <c r="E38" s="170" t="s">
        <v>134</v>
      </c>
      <c r="F38" s="171">
        <v>2.5000000000000001E-2</v>
      </c>
      <c r="G38" s="172" t="str">
        <f>Control!F17</f>
        <v>Não cumpre</v>
      </c>
      <c r="H38" s="173">
        <f>Control!G17</f>
        <v>0</v>
      </c>
      <c r="I38" s="140">
        <f>Control!H17</f>
        <v>1</v>
      </c>
      <c r="J38" s="140">
        <f>Control!I17</f>
        <v>2</v>
      </c>
      <c r="K38" s="140" t="str">
        <f>Control!J17</f>
        <v/>
      </c>
      <c r="L38" s="140" t="str">
        <f>Control!K17</f>
        <v/>
      </c>
      <c r="M38" s="172" t="str">
        <f>Control!L17</f>
        <v>Mais que Cumpre</v>
      </c>
      <c r="N38" s="174">
        <f>Control!M17</f>
        <v>2.1250000000000002E-2</v>
      </c>
      <c r="O38" s="175">
        <f>Control!N17</f>
        <v>0</v>
      </c>
      <c r="P38" s="140" t="str">
        <f>Control!O17</f>
        <v>D</v>
      </c>
      <c r="Q38" s="140" t="str">
        <f>Control!P17</f>
        <v>D</v>
      </c>
      <c r="R38" s="140" t="str">
        <f>Control!Q17</f>
        <v>D</v>
      </c>
      <c r="S38" s="140" t="str">
        <f>Control!R17</f>
        <v>D</v>
      </c>
      <c r="T38" s="143">
        <f>Control!S17</f>
        <v>2</v>
      </c>
      <c r="U38" s="177" t="str">
        <f>Control!T17</f>
        <v>Alta</v>
      </c>
      <c r="V38" s="142" t="str">
        <f>IF(Control!U17=0.5,"",Control!U17)</f>
        <v/>
      </c>
      <c r="W38" s="142" t="str">
        <f>IF(Control!V17=0.5,"",Control!V17)</f>
        <v/>
      </c>
      <c r="X38" s="142" t="str">
        <f>IF(Control!W17=0.5,"",Control!W17)</f>
        <v/>
      </c>
      <c r="Y38" s="142" t="str">
        <f>IF(Control!X17=0.5,"",Control!X17)</f>
        <v/>
      </c>
      <c r="Z38" s="142" t="str">
        <f>IF(Control!Y17=0.5,"",Control!Y17)</f>
        <v/>
      </c>
      <c r="AA38" s="178" t="str">
        <f ca="1">Control!Z17</f>
        <v>Retrasado</v>
      </c>
      <c r="AB38" s="172" t="str">
        <f>Control!AA17</f>
        <v>Parcial</v>
      </c>
      <c r="AC38" s="174">
        <f>Control!AB17</f>
        <v>1.0000000000000002E-2</v>
      </c>
      <c r="AD38" s="175">
        <f>Control!AC17</f>
        <v>0.4705882352941177</v>
      </c>
      <c r="AE38" s="140">
        <f>Control!AD17</f>
        <v>3</v>
      </c>
      <c r="AF38" s="140">
        <f>Control!AE17</f>
        <v>2</v>
      </c>
      <c r="AG38" s="140" t="str">
        <f>Control!AF17</f>
        <v/>
      </c>
      <c r="AH38" s="140" t="str">
        <f>Control!AG17</f>
        <v/>
      </c>
      <c r="AI38" s="187" t="str">
        <f>IF('Control 8'!E16=0,"",'Control 8'!E16)</f>
        <v>NBC</v>
      </c>
      <c r="AJ38" s="187" t="str">
        <f>IF('Control 8'!F16=0,"",'Control 8'!F16)</f>
        <v/>
      </c>
      <c r="AK38" s="187" t="str">
        <f>IF('Control 8'!G16=0,"",'Control 8'!G16)</f>
        <v/>
      </c>
      <c r="AL38" s="187" t="str">
        <f>IF('Control 8'!H16=0,"",'Control 8'!H16)</f>
        <v/>
      </c>
      <c r="AM38" s="187" t="str">
        <f>IF('Control 8'!I16=0,"",'Control 8'!I16)</f>
        <v/>
      </c>
      <c r="AN38" s="98">
        <f t="shared" si="0"/>
        <v>1.0000000000000002E-2</v>
      </c>
      <c r="AO38" s="98">
        <f t="shared" si="1"/>
        <v>2.1250000000000002E-2</v>
      </c>
      <c r="AQ38" s="184" t="b">
        <f t="shared" si="3"/>
        <v>1</v>
      </c>
      <c r="AR38" s="184" t="b">
        <f t="shared" si="3"/>
        <v>1</v>
      </c>
      <c r="AS38" s="184" t="b">
        <f t="shared" si="3"/>
        <v>1</v>
      </c>
      <c r="AT38" s="184" t="b">
        <f t="shared" si="3"/>
        <v>1</v>
      </c>
      <c r="AU38" s="188" t="str">
        <f t="shared" si="4"/>
        <v>8.</v>
      </c>
      <c r="AV38" s="184" t="str">
        <f t="shared" si="5"/>
        <v>Monitoramento de equipamentos com vendas zero</v>
      </c>
      <c r="AW38" s="189">
        <f t="shared" si="6"/>
        <v>1.0000000000000002E-2</v>
      </c>
    </row>
    <row r="39" spans="1:49" ht="45.75" customHeight="1" x14ac:dyDescent="0.3">
      <c r="A39" s="1">
        <v>30</v>
      </c>
      <c r="B39" s="168" t="s">
        <v>123</v>
      </c>
      <c r="C39" s="115" t="s">
        <v>131</v>
      </c>
      <c r="D39" s="169" t="s">
        <v>97</v>
      </c>
      <c r="E39" s="181" t="s">
        <v>135</v>
      </c>
      <c r="F39" s="180">
        <v>2.5000000000000001E-2</v>
      </c>
      <c r="G39" s="172" t="str">
        <f>Control!F18</f>
        <v/>
      </c>
      <c r="H39" s="173">
        <f>Control!G18</f>
        <v>0</v>
      </c>
      <c r="I39" s="140" t="str">
        <f>Control!H18</f>
        <v/>
      </c>
      <c r="J39" s="140" t="str">
        <f>Control!I18</f>
        <v/>
      </c>
      <c r="K39" s="140" t="str">
        <f>Control!J18</f>
        <v/>
      </c>
      <c r="L39" s="140" t="str">
        <f>Control!K18</f>
        <v/>
      </c>
      <c r="M39" s="172" t="str">
        <f>Control!L18</f>
        <v>Melhor Prática</v>
      </c>
      <c r="N39" s="174">
        <f>Control!M18</f>
        <v>2.5000000000000001E-2</v>
      </c>
      <c r="O39" s="175">
        <f>Control!N18</f>
        <v>0</v>
      </c>
      <c r="P39" s="140" t="str">
        <f>Control!O18</f>
        <v>-</v>
      </c>
      <c r="Q39" s="140" t="str">
        <f>Control!P18</f>
        <v>D</v>
      </c>
      <c r="R39" s="140" t="str">
        <f>Control!Q18</f>
        <v>D</v>
      </c>
      <c r="S39" s="140" t="str">
        <f>Control!R18</f>
        <v>D</v>
      </c>
      <c r="T39" s="143">
        <f>Control!S18</f>
        <v>1</v>
      </c>
      <c r="U39" s="177" t="str">
        <f>Control!T18</f>
        <v>Alta</v>
      </c>
      <c r="V39" s="142" t="str">
        <f>IF(Control!U18=0.5,"",Control!U18)</f>
        <v/>
      </c>
      <c r="W39" s="142" t="str">
        <f>IF(Control!V18=0.5,"",Control!V18)</f>
        <v/>
      </c>
      <c r="X39" s="142" t="str">
        <f>IF(Control!W18=0.5,"",Control!W18)</f>
        <v/>
      </c>
      <c r="Y39" s="142" t="str">
        <f>IF(Control!X18=0.5,"",Control!X18)</f>
        <v/>
      </c>
      <c r="Z39" s="142" t="str">
        <f>IF(Control!Y18=0.5,"",Control!Y18)</f>
        <v/>
      </c>
      <c r="AA39" s="178" t="str">
        <f ca="1">Control!Z18</f>
        <v>Retrasado</v>
      </c>
      <c r="AB39" s="172" t="str">
        <f>Control!AA18</f>
        <v>Melhor Prática</v>
      </c>
      <c r="AC39" s="174">
        <f>Control!AB18</f>
        <v>2.5000000000000001E-2</v>
      </c>
      <c r="AD39" s="175">
        <f>Control!AC18</f>
        <v>1</v>
      </c>
      <c r="AE39" s="140">
        <f>Control!AD18</f>
        <v>3</v>
      </c>
      <c r="AF39" s="140">
        <f>Control!AE18</f>
        <v>3</v>
      </c>
      <c r="AG39" s="140">
        <f>Control!AF18</f>
        <v>3</v>
      </c>
      <c r="AH39" s="140">
        <f>Control!AG18</f>
        <v>3</v>
      </c>
      <c r="AI39" s="187" t="str">
        <f>IF('Control 9'!E16=0,"",'Control 9'!E16)</f>
        <v>NBC</v>
      </c>
      <c r="AJ39" s="187" t="str">
        <f>IF('Control 9'!F16=0,"",'Control 9'!F16)</f>
        <v/>
      </c>
      <c r="AK39" s="187" t="str">
        <f>IF('Control 9'!G16=0,"",'Control 9'!G16)</f>
        <v/>
      </c>
      <c r="AL39" s="187" t="str">
        <f>IF('Control 9'!H16=0,"",'Control 9'!H16)</f>
        <v/>
      </c>
      <c r="AM39" s="187" t="str">
        <f>IF('Control 9'!I16=0,"",'Control 9'!I16)</f>
        <v/>
      </c>
      <c r="AN39" s="98">
        <f t="shared" si="0"/>
        <v>2.5000000000000001E-2</v>
      </c>
      <c r="AO39" s="98">
        <f t="shared" si="1"/>
        <v>2.5000000000000001E-2</v>
      </c>
      <c r="AQ39" s="184" t="b">
        <f t="shared" si="3"/>
        <v>1</v>
      </c>
      <c r="AR39" s="184" t="b">
        <f t="shared" si="3"/>
        <v>1</v>
      </c>
      <c r="AS39" s="184" t="b">
        <f t="shared" si="3"/>
        <v>1</v>
      </c>
      <c r="AT39" s="184" t="b">
        <f t="shared" si="3"/>
        <v>1</v>
      </c>
      <c r="AU39" s="188" t="str">
        <f t="shared" si="4"/>
        <v>9.</v>
      </c>
      <c r="AV39" s="184" t="str">
        <f t="shared" si="5"/>
        <v>Validação de equipamentos no mercado</v>
      </c>
      <c r="AW39" s="189">
        <f t="shared" si="6"/>
        <v>2.5000000000000001E-2</v>
      </c>
    </row>
    <row r="40" spans="1:49" ht="45.75" customHeight="1" x14ac:dyDescent="0.3">
      <c r="A40" s="1">
        <v>31</v>
      </c>
      <c r="B40" s="168" t="s">
        <v>123</v>
      </c>
      <c r="C40" s="115" t="s">
        <v>136</v>
      </c>
      <c r="D40" s="169" t="s">
        <v>100</v>
      </c>
      <c r="E40" s="170" t="s">
        <v>137</v>
      </c>
      <c r="F40" s="171">
        <v>2.5000000000000001E-2</v>
      </c>
      <c r="G40" s="172" t="str">
        <f>Control!F19</f>
        <v>Não cumpre</v>
      </c>
      <c r="H40" s="173">
        <f>Control!G19</f>
        <v>0</v>
      </c>
      <c r="I40" s="140">
        <f>Control!H19</f>
        <v>1</v>
      </c>
      <c r="J40" s="140">
        <f>Control!I19</f>
        <v>1</v>
      </c>
      <c r="K40" s="140" t="str">
        <f>Control!J19</f>
        <v/>
      </c>
      <c r="L40" s="140" t="str">
        <f>Control!K19</f>
        <v/>
      </c>
      <c r="M40" s="172" t="str">
        <f>Control!L19</f>
        <v>Cumpre</v>
      </c>
      <c r="N40" s="174">
        <f>Control!M19</f>
        <v>1.7499999999999998E-2</v>
      </c>
      <c r="O40" s="175">
        <f>Control!N19</f>
        <v>0</v>
      </c>
      <c r="P40" s="140" t="str">
        <f>Control!O19</f>
        <v>-</v>
      </c>
      <c r="Q40" s="140" t="str">
        <f>Control!P19</f>
        <v>-</v>
      </c>
      <c r="R40" s="140" t="str">
        <f>Control!Q19</f>
        <v>-</v>
      </c>
      <c r="S40" s="140" t="str">
        <f>Control!R19</f>
        <v>-</v>
      </c>
      <c r="T40" s="143">
        <f>Control!S19</f>
        <v>1</v>
      </c>
      <c r="U40" s="177" t="str">
        <f>Control!T19</f>
        <v>Alta</v>
      </c>
      <c r="V40" s="142" t="str">
        <f>IF(Control!U19=0.5,"",Control!U19)</f>
        <v/>
      </c>
      <c r="W40" s="142" t="str">
        <f>IF(Control!V19=0.5,"",Control!V19)</f>
        <v/>
      </c>
      <c r="X40" s="142">
        <f>IF(Control!W19=0.5,"",Control!W19)</f>
        <v>1</v>
      </c>
      <c r="Y40" s="142">
        <f>IF(Control!X19=0.5,"",Control!X19)</f>
        <v>1</v>
      </c>
      <c r="Z40" s="142">
        <f>IF(Control!Y19=0.5,"",Control!Y19)</f>
        <v>1</v>
      </c>
      <c r="AA40" s="178" t="str">
        <f ca="1">Control!Z19</f>
        <v>Retrasado</v>
      </c>
      <c r="AB40" s="172" t="str">
        <f>Control!AA19</f>
        <v>Cumpre</v>
      </c>
      <c r="AC40" s="174">
        <f>Control!AB19</f>
        <v>1.7499999999999998E-2</v>
      </c>
      <c r="AD40" s="175">
        <f>Control!AC19</f>
        <v>1</v>
      </c>
      <c r="AE40" s="140">
        <f>Control!AD19</f>
        <v>3</v>
      </c>
      <c r="AF40" s="140">
        <f>Control!AE19</f>
        <v>3</v>
      </c>
      <c r="AG40" s="140" t="str">
        <f>Control!AF19</f>
        <v/>
      </c>
      <c r="AH40" s="140" t="str">
        <f>Control!AG19</f>
        <v/>
      </c>
      <c r="AI40" s="187" t="str">
        <f>IF('Control 10'!E16=0,"",'Control 10'!E16)</f>
        <v>NBC</v>
      </c>
      <c r="AJ40" s="187" t="str">
        <f>IF('Control 10'!F16=0,"",'Control 10'!F16)</f>
        <v/>
      </c>
      <c r="AK40" s="187" t="str">
        <f>IF('Control 10'!G16=0,"",'Control 10'!G16)</f>
        <v/>
      </c>
      <c r="AL40" s="187" t="str">
        <f>IF('Control 10'!H16=0,"",'Control 10'!H16)</f>
        <v/>
      </c>
      <c r="AM40" s="187" t="str">
        <f>IF('Control 10'!I16=0,"",'Control 10'!I16)</f>
        <v/>
      </c>
      <c r="AN40" s="98">
        <f t="shared" si="0"/>
        <v>1.7499999999999998E-2</v>
      </c>
      <c r="AO40" s="98">
        <f t="shared" si="1"/>
        <v>1.7499999999999998E-2</v>
      </c>
      <c r="AQ40" s="184" t="b">
        <f t="shared" si="3"/>
        <v>1</v>
      </c>
      <c r="AR40" s="184" t="b">
        <f t="shared" si="3"/>
        <v>1</v>
      </c>
      <c r="AS40" s="184" t="b">
        <f t="shared" si="3"/>
        <v>1</v>
      </c>
      <c r="AT40" s="184" t="b">
        <f t="shared" si="3"/>
        <v>1</v>
      </c>
      <c r="AU40" s="188" t="str">
        <f t="shared" si="4"/>
        <v>10.</v>
      </c>
      <c r="AV40" s="184" t="str">
        <f t="shared" si="5"/>
        <v>Censo de equipamentos</v>
      </c>
      <c r="AW40" s="189">
        <f t="shared" si="6"/>
        <v>1.7499999999999998E-2</v>
      </c>
    </row>
    <row r="41" spans="1:49" ht="45.75" customHeight="1" x14ac:dyDescent="0.3">
      <c r="A41" s="1">
        <v>32</v>
      </c>
      <c r="B41" s="168" t="s">
        <v>123</v>
      </c>
      <c r="C41" s="115" t="s">
        <v>136</v>
      </c>
      <c r="D41" s="169" t="s">
        <v>103</v>
      </c>
      <c r="E41" s="181" t="s">
        <v>138</v>
      </c>
      <c r="F41" s="180">
        <v>1.4999999999999999E-2</v>
      </c>
      <c r="G41" s="172" t="str">
        <f>Control!F20</f>
        <v>Não cumpre</v>
      </c>
      <c r="H41" s="173">
        <f>Control!G20</f>
        <v>0</v>
      </c>
      <c r="I41" s="140">
        <f>Control!H20</f>
        <v>1</v>
      </c>
      <c r="J41" s="140">
        <f>Control!I20</f>
        <v>1</v>
      </c>
      <c r="K41" s="140" t="str">
        <f>Control!J20</f>
        <v/>
      </c>
      <c r="L41" s="140" t="str">
        <f>Control!K20</f>
        <v/>
      </c>
      <c r="M41" s="172" t="str">
        <f>Control!L20</f>
        <v>Mais que Cumpre</v>
      </c>
      <c r="N41" s="174">
        <f>Control!M20</f>
        <v>1.2749999999999999E-2</v>
      </c>
      <c r="O41" s="175">
        <f>Control!N20</f>
        <v>0</v>
      </c>
      <c r="P41" s="140" t="str">
        <f>Control!O20</f>
        <v>-</v>
      </c>
      <c r="Q41" s="140" t="str">
        <f>Control!P20</f>
        <v>D</v>
      </c>
      <c r="R41" s="140" t="str">
        <f>Control!Q20</f>
        <v>D</v>
      </c>
      <c r="S41" s="140" t="str">
        <f>Control!R20</f>
        <v>-</v>
      </c>
      <c r="T41" s="143">
        <f>Control!S20</f>
        <v>2</v>
      </c>
      <c r="U41" s="177" t="str">
        <f>Control!T20</f>
        <v>Alta</v>
      </c>
      <c r="V41" s="142" t="str">
        <f>IF(Control!U20=0.5,"",Control!U20)</f>
        <v/>
      </c>
      <c r="W41" s="142" t="str">
        <f>IF(Control!V20=0.5,"",Control!V20)</f>
        <v/>
      </c>
      <c r="X41" s="142" t="str">
        <f>IF(Control!W20=0.5,"",Control!W20)</f>
        <v/>
      </c>
      <c r="Y41" s="142" t="str">
        <f>IF(Control!X20=0.5,"",Control!X20)</f>
        <v/>
      </c>
      <c r="Z41" s="142" t="str">
        <f>IF(Control!Y20=0.5,"",Control!Y20)</f>
        <v/>
      </c>
      <c r="AA41" s="178" t="str">
        <f ca="1">Control!Z20</f>
        <v>A Tiempo</v>
      </c>
      <c r="AB41" s="172" t="str">
        <f>Control!AA20</f>
        <v>Melhor Prática</v>
      </c>
      <c r="AC41" s="174">
        <f>Control!AB20</f>
        <v>1.4999999999999999E-2</v>
      </c>
      <c r="AD41" s="175">
        <f>Control!AC20</f>
        <v>1.1764705882352942</v>
      </c>
      <c r="AE41" s="140">
        <f>Control!AD20</f>
        <v>3</v>
      </c>
      <c r="AF41" s="140">
        <f>Control!AE20</f>
        <v>3</v>
      </c>
      <c r="AG41" s="140">
        <f>Control!AF20</f>
        <v>3</v>
      </c>
      <c r="AH41" s="140">
        <f>Control!AG20</f>
        <v>3</v>
      </c>
      <c r="AI41" s="187" t="str">
        <f>IF('Control 11'!E16=0,"",'Control 11'!E16)</f>
        <v>BC</v>
      </c>
      <c r="AJ41" s="187" t="str">
        <f>IF('Control 11'!F16=0,"",'Control 11'!F16)</f>
        <v/>
      </c>
      <c r="AK41" s="187" t="str">
        <f>IF('Control 11'!G16=0,"",'Control 11'!G16)</f>
        <v/>
      </c>
      <c r="AL41" s="187" t="str">
        <f>IF('Control 11'!H16=0,"",'Control 11'!H16)</f>
        <v/>
      </c>
      <c r="AM41" s="187" t="str">
        <f>IF('Control 11'!I16=0,"",'Control 11'!I16)</f>
        <v>X</v>
      </c>
      <c r="AN41" s="98">
        <f t="shared" si="0"/>
        <v>1.4999999999999999E-2</v>
      </c>
      <c r="AO41" s="98">
        <f t="shared" si="1"/>
        <v>1.2749999999999999E-2</v>
      </c>
      <c r="AQ41" s="184" t="b">
        <f t="shared" si="3"/>
        <v>1</v>
      </c>
      <c r="AR41" s="184" t="b">
        <f t="shared" si="3"/>
        <v>1</v>
      </c>
      <c r="AS41" s="184" t="b">
        <f t="shared" si="3"/>
        <v>1</v>
      </c>
      <c r="AT41" s="184" t="b">
        <f t="shared" si="3"/>
        <v>1</v>
      </c>
      <c r="AU41" s="188" t="str">
        <f t="shared" si="4"/>
        <v>11.</v>
      </c>
      <c r="AV41" s="184" t="str">
        <f t="shared" si="5"/>
        <v>Gestão de recuperação legal</v>
      </c>
      <c r="AW41" s="189">
        <f t="shared" si="6"/>
        <v>1.4999999999999999E-2</v>
      </c>
    </row>
    <row r="42" spans="1:49" ht="45.75" customHeight="1" x14ac:dyDescent="0.3">
      <c r="A42" s="1">
        <v>33</v>
      </c>
      <c r="B42" s="168" t="s">
        <v>123</v>
      </c>
      <c r="C42" s="115" t="s">
        <v>102</v>
      </c>
      <c r="D42" s="169" t="s">
        <v>106</v>
      </c>
      <c r="E42" s="170" t="s">
        <v>139</v>
      </c>
      <c r="F42" s="171">
        <v>1.4999999999999999E-2</v>
      </c>
      <c r="G42" s="172" t="str">
        <f>Control!F21</f>
        <v>Não cumpre</v>
      </c>
      <c r="H42" s="173">
        <f>Control!G21</f>
        <v>0</v>
      </c>
      <c r="I42" s="140">
        <f>Control!H21</f>
        <v>1</v>
      </c>
      <c r="J42" s="140">
        <f>Control!I21</f>
        <v>1</v>
      </c>
      <c r="K42" s="140" t="str">
        <f>Control!J21</f>
        <v/>
      </c>
      <c r="L42" s="140" t="str">
        <f>Control!K21</f>
        <v/>
      </c>
      <c r="M42" s="172" t="str">
        <f>Control!L21</f>
        <v>Cumpre</v>
      </c>
      <c r="N42" s="174">
        <f>Control!M21</f>
        <v>1.0499999999999999E-2</v>
      </c>
      <c r="O42" s="175">
        <f>Control!N21</f>
        <v>0</v>
      </c>
      <c r="P42" s="140" t="str">
        <f>Control!O21</f>
        <v>D</v>
      </c>
      <c r="Q42" s="140" t="str">
        <f>Control!P21</f>
        <v>-</v>
      </c>
      <c r="R42" s="140" t="str">
        <f>Control!Q21</f>
        <v>-</v>
      </c>
      <c r="S42" s="140" t="str">
        <f>Control!R21</f>
        <v>-</v>
      </c>
      <c r="T42" s="143">
        <f>Control!S21</f>
        <v>2</v>
      </c>
      <c r="U42" s="177" t="str">
        <f>Control!T21</f>
        <v>Alta</v>
      </c>
      <c r="V42" s="142" t="str">
        <f>IF(Control!U21=0.5,"",Control!U21)</f>
        <v/>
      </c>
      <c r="W42" s="142" t="str">
        <f>IF(Control!V21=0.5,"",Control!V21)</f>
        <v/>
      </c>
      <c r="X42" s="142" t="str">
        <f>IF(Control!W21=0.5,"",Control!W21)</f>
        <v/>
      </c>
      <c r="Y42" s="142" t="str">
        <f>IF(Control!X21=0.5,"",Control!X21)</f>
        <v/>
      </c>
      <c r="Z42" s="142" t="str">
        <f>IF(Control!Y21=0.5,"",Control!Y21)</f>
        <v/>
      </c>
      <c r="AA42" s="178" t="str">
        <f ca="1">Control!Z21</f>
        <v>Retrasado</v>
      </c>
      <c r="AB42" s="172" t="str">
        <f>Control!AA21</f>
        <v>Cumpre</v>
      </c>
      <c r="AC42" s="174">
        <f>Control!AB21</f>
        <v>1.0499999999999999E-2</v>
      </c>
      <c r="AD42" s="175">
        <f>Control!AC21</f>
        <v>1</v>
      </c>
      <c r="AE42" s="140">
        <f>Control!AD21</f>
        <v>3</v>
      </c>
      <c r="AF42" s="140">
        <f>Control!AE21</f>
        <v>3</v>
      </c>
      <c r="AG42" s="140" t="str">
        <f>Control!AF21</f>
        <v/>
      </c>
      <c r="AH42" s="140" t="str">
        <f>Control!AG21</f>
        <v/>
      </c>
      <c r="AI42" s="187" t="str">
        <f>IF('Control 12'!E16=0,"",'Control 12'!E16)</f>
        <v>NBC</v>
      </c>
      <c r="AJ42" s="187" t="str">
        <f>IF('Control 12'!F16=0,"",'Control 12'!F16)</f>
        <v/>
      </c>
      <c r="AK42" s="187" t="str">
        <f>IF('Control 12'!G16=0,"",'Control 12'!G16)</f>
        <v/>
      </c>
      <c r="AL42" s="187" t="str">
        <f>IF('Control 12'!H16=0,"",'Control 12'!H16)</f>
        <v/>
      </c>
      <c r="AM42" s="187" t="str">
        <f>IF('Control 12'!I16=0,"",'Control 12'!I16)</f>
        <v/>
      </c>
      <c r="AN42" s="98">
        <f t="shared" ref="AN42:AN73" si="7">IF(AB42&lt;&gt;"",SUM(AC42-H42),0)</f>
        <v>1.0499999999999999E-2</v>
      </c>
      <c r="AO42" s="98">
        <f t="shared" ref="AO42:AO73" si="8">N42-H42</f>
        <v>1.0499999999999999E-2</v>
      </c>
      <c r="AQ42" s="184" t="b">
        <f t="shared" si="3"/>
        <v>1</v>
      </c>
      <c r="AR42" s="184" t="b">
        <f t="shared" si="3"/>
        <v>1</v>
      </c>
      <c r="AS42" s="184" t="b">
        <f t="shared" si="3"/>
        <v>1</v>
      </c>
      <c r="AT42" s="184" t="b">
        <f t="shared" si="3"/>
        <v>1</v>
      </c>
      <c r="AU42" s="188" t="str">
        <f t="shared" si="4"/>
        <v>12.</v>
      </c>
      <c r="AV42" s="184" t="str">
        <f t="shared" si="5"/>
        <v>Conectividade para o controle</v>
      </c>
      <c r="AW42" s="189">
        <f t="shared" si="6"/>
        <v>1.0499999999999999E-2</v>
      </c>
    </row>
    <row r="43" spans="1:49" ht="45.75" customHeight="1" x14ac:dyDescent="0.3">
      <c r="A43" s="1">
        <v>34</v>
      </c>
      <c r="B43" s="168" t="s">
        <v>123</v>
      </c>
      <c r="C43" s="115" t="s">
        <v>39</v>
      </c>
      <c r="D43" s="169" t="s">
        <v>108</v>
      </c>
      <c r="E43" s="170" t="s">
        <v>140</v>
      </c>
      <c r="F43" s="180">
        <v>5.0000000000000001E-3</v>
      </c>
      <c r="G43" s="172" t="str">
        <f>Control!F22</f>
        <v>Não cumpre</v>
      </c>
      <c r="H43" s="173">
        <f>Control!G22</f>
        <v>0</v>
      </c>
      <c r="I43" s="140">
        <f>Control!H22</f>
        <v>1</v>
      </c>
      <c r="J43" s="140" t="str">
        <f>Control!I22</f>
        <v/>
      </c>
      <c r="K43" s="140" t="str">
        <f>Control!J22</f>
        <v/>
      </c>
      <c r="L43" s="140" t="str">
        <f>Control!K22</f>
        <v/>
      </c>
      <c r="M43" s="172" t="str">
        <f>Control!L22</f>
        <v>Cumpre</v>
      </c>
      <c r="N43" s="174">
        <f>Control!M22</f>
        <v>3.4999999999999996E-3</v>
      </c>
      <c r="O43" s="175">
        <f>Control!N22</f>
        <v>0</v>
      </c>
      <c r="P43" s="140" t="str">
        <f>Control!O22</f>
        <v>-</v>
      </c>
      <c r="Q43" s="140" t="str">
        <f>Control!P22</f>
        <v>-</v>
      </c>
      <c r="R43" s="140" t="str">
        <f>Control!Q22</f>
        <v>-</v>
      </c>
      <c r="S43" s="140" t="str">
        <f>Control!R22</f>
        <v>-</v>
      </c>
      <c r="T43" s="143">
        <f>Control!S22</f>
        <v>2</v>
      </c>
      <c r="U43" s="177" t="str">
        <f>Control!T22</f>
        <v>Alta</v>
      </c>
      <c r="V43" s="142" t="str">
        <f>IF(Control!U22=0.5,"",Control!U22)</f>
        <v/>
      </c>
      <c r="W43" s="142" t="str">
        <f>IF(Control!V22=0.5,"",Control!V22)</f>
        <v/>
      </c>
      <c r="X43" s="142">
        <f>IF(Control!W22=0.5,"",Control!W22)</f>
        <v>1</v>
      </c>
      <c r="Y43" s="142">
        <f>IF(Control!X22=0.5,"",Control!X22)</f>
        <v>1</v>
      </c>
      <c r="Z43" s="142">
        <f>IF(Control!Y22=0.5,"",Control!Y22)</f>
        <v>1</v>
      </c>
      <c r="AA43" s="178" t="str">
        <f ca="1">Control!Z22</f>
        <v>Retrasado</v>
      </c>
      <c r="AB43" s="172" t="str">
        <f>Control!AA22</f>
        <v>Melhor Prática</v>
      </c>
      <c r="AC43" s="174">
        <f>Control!AB22</f>
        <v>5.0000000000000001E-3</v>
      </c>
      <c r="AD43" s="175">
        <f>Control!AC22</f>
        <v>1.4285714285714288</v>
      </c>
      <c r="AE43" s="140">
        <f>Control!AD22</f>
        <v>3</v>
      </c>
      <c r="AF43" s="140">
        <f>Control!AE22</f>
        <v>3</v>
      </c>
      <c r="AG43" s="140">
        <f>Control!AF22</f>
        <v>3</v>
      </c>
      <c r="AH43" s="140">
        <f>Control!AG22</f>
        <v>3</v>
      </c>
      <c r="AI43" s="187" t="str">
        <f>IF('Control 13'!E16=0,"",'Control 13'!E16)</f>
        <v>BC</v>
      </c>
      <c r="AJ43" s="187" t="str">
        <f>IF('Control 13'!F16=0,"",'Control 13'!F16)</f>
        <v/>
      </c>
      <c r="AK43" s="187" t="str">
        <f>IF('Control 13'!G16=0,"",'Control 13'!G16)</f>
        <v/>
      </c>
      <c r="AL43" s="187" t="str">
        <f>IF('Control 13'!H16=0,"",'Control 13'!H16)</f>
        <v>X</v>
      </c>
      <c r="AM43" s="187" t="str">
        <f>IF('Control 13'!I16=0,"",'Control 13'!I16)</f>
        <v/>
      </c>
      <c r="AN43" s="98">
        <f t="shared" si="7"/>
        <v>5.0000000000000001E-3</v>
      </c>
      <c r="AO43" s="98">
        <f t="shared" si="8"/>
        <v>3.4999999999999996E-3</v>
      </c>
      <c r="AQ43" s="184" t="b">
        <f t="shared" si="3"/>
        <v>1</v>
      </c>
      <c r="AR43" s="184" t="b">
        <f t="shared" si="3"/>
        <v>1</v>
      </c>
      <c r="AS43" s="184" t="b">
        <f t="shared" si="3"/>
        <v>1</v>
      </c>
      <c r="AT43" s="184" t="b">
        <f t="shared" si="3"/>
        <v>1</v>
      </c>
      <c r="AU43" s="188" t="str">
        <f t="shared" si="4"/>
        <v>13.</v>
      </c>
      <c r="AV43" s="184" t="str">
        <f t="shared" si="5"/>
        <v>Política de controle de equipamentos</v>
      </c>
      <c r="AW43" s="189">
        <f t="shared" si="6"/>
        <v>5.0000000000000001E-3</v>
      </c>
    </row>
    <row r="44" spans="1:49" ht="45.75" customHeight="1" x14ac:dyDescent="0.3">
      <c r="A44" s="1">
        <v>35</v>
      </c>
      <c r="B44" s="168" t="s">
        <v>14</v>
      </c>
      <c r="C44" s="115" t="s">
        <v>124</v>
      </c>
      <c r="D44" s="169" t="s">
        <v>79</v>
      </c>
      <c r="E44" s="170" t="s">
        <v>141</v>
      </c>
      <c r="F44" s="180">
        <v>0.02</v>
      </c>
      <c r="G44" s="172" t="str">
        <f>Mercado!F10</f>
        <v>Parcial</v>
      </c>
      <c r="H44" s="175">
        <f>Mercado!G10</f>
        <v>8.0000000000000002E-3</v>
      </c>
      <c r="I44" s="140">
        <f>Mercado!H10</f>
        <v>3</v>
      </c>
      <c r="J44" s="140">
        <f>Mercado!I10</f>
        <v>1</v>
      </c>
      <c r="K44" s="140">
        <f>Mercado!J10</f>
        <v>3</v>
      </c>
      <c r="L44" s="140" t="str">
        <f>Mercado!K10</f>
        <v/>
      </c>
      <c r="M44" s="172" t="str">
        <f>Mercado!L10</f>
        <v>Mais que Cumpre</v>
      </c>
      <c r="N44" s="175">
        <f>Mercado!M10</f>
        <v>1.7000000000000001E-2</v>
      </c>
      <c r="O44" s="172">
        <f>Mercado!N10</f>
        <v>0.47058823529411764</v>
      </c>
      <c r="P44" s="172" t="str">
        <f>Mercado!O10</f>
        <v>-</v>
      </c>
      <c r="Q44" s="172" t="str">
        <f>Mercado!P10</f>
        <v>-</v>
      </c>
      <c r="R44" s="172" t="str">
        <f>Mercado!Q10</f>
        <v>-</v>
      </c>
      <c r="S44" s="172" t="str">
        <f>Mercado!R10</f>
        <v>-</v>
      </c>
      <c r="T44" s="172">
        <f>Mercado!S10</f>
        <v>2</v>
      </c>
      <c r="U44" s="172" t="str">
        <f>Mercado!T10</f>
        <v>Alta</v>
      </c>
      <c r="V44" s="142" t="str">
        <f>IF(Mercado!U10=0.5,"",Mercado!U10)</f>
        <v/>
      </c>
      <c r="W44" s="142" t="str">
        <f>IF(Mercado!V10=0.5,"",Mercado!V10)</f>
        <v/>
      </c>
      <c r="X44" s="142" t="str">
        <f>IF(Mercado!W10=0.5,"",Mercado!W10)</f>
        <v/>
      </c>
      <c r="Y44" s="142" t="str">
        <f>IF(Mercado!X10=0.5,"",Mercado!X10)</f>
        <v/>
      </c>
      <c r="Z44" s="142" t="str">
        <f>IF(Mercado!Y10=0.5,"",Mercado!Y10)</f>
        <v/>
      </c>
      <c r="AA44" s="178" t="str">
        <f ca="1">Mercado!Z10</f>
        <v>A Tiempo</v>
      </c>
      <c r="AB44" s="172" t="str">
        <f>Mercado!AA10</f>
        <v/>
      </c>
      <c r="AC44" s="175">
        <f>Mercado!AB10</f>
        <v>0</v>
      </c>
      <c r="AD44" s="175">
        <f>Mercado!AC10</f>
        <v>0</v>
      </c>
      <c r="AE44" s="140" t="str">
        <f>Mercado!AD10</f>
        <v/>
      </c>
      <c r="AF44" s="140" t="str">
        <f>Mercado!AE10</f>
        <v/>
      </c>
      <c r="AG44" s="140" t="str">
        <f>Mercado!AF10</f>
        <v/>
      </c>
      <c r="AH44" s="140" t="str">
        <f>Mercado!AG10</f>
        <v/>
      </c>
      <c r="AI44" s="187" t="str">
        <f>IF('Mercado 1'!E16=0,"",'Mercado 1'!E16)</f>
        <v>NBC</v>
      </c>
      <c r="AJ44" s="187" t="str">
        <f>IF('Mercado 1'!F16=0,"",'Mercado 1'!F16)</f>
        <v/>
      </c>
      <c r="AK44" s="187" t="str">
        <f>IF('Mercado 1'!G16=0,"",'Mercado 1'!G16)</f>
        <v/>
      </c>
      <c r="AL44" s="187" t="str">
        <f>IF('Mercado 1'!H16=0,"",'Mercado 1'!H16)</f>
        <v/>
      </c>
      <c r="AM44" s="187" t="str">
        <f>IF('Mercado 1'!I16=0,"",'Mercado 1'!I16)</f>
        <v/>
      </c>
      <c r="AN44" s="98">
        <f t="shared" si="7"/>
        <v>0</v>
      </c>
      <c r="AO44" s="98">
        <f t="shared" si="8"/>
        <v>9.0000000000000011E-3</v>
      </c>
      <c r="AQ44" s="184" t="b">
        <f t="shared" si="3"/>
        <v>1</v>
      </c>
      <c r="AR44" s="184" t="b">
        <f t="shared" si="3"/>
        <v>1</v>
      </c>
      <c r="AS44" s="184" t="b">
        <f t="shared" si="3"/>
        <v>1</v>
      </c>
      <c r="AT44" s="184" t="b">
        <f t="shared" si="3"/>
        <v>1</v>
      </c>
      <c r="AU44" s="188" t="str">
        <f t="shared" si="4"/>
        <v>1.</v>
      </c>
      <c r="AV44" s="184" t="str">
        <f t="shared" si="5"/>
        <v>Processamento de pedidos de instalação e recolhimento</v>
      </c>
      <c r="AW44" s="189">
        <f>IF(AB44="",H44,AC44)</f>
        <v>8.0000000000000002E-3</v>
      </c>
    </row>
    <row r="45" spans="1:49" ht="45.75" customHeight="1" x14ac:dyDescent="0.3">
      <c r="A45" s="1">
        <v>36</v>
      </c>
      <c r="B45" s="168" t="s">
        <v>14</v>
      </c>
      <c r="C45" s="115" t="s">
        <v>124</v>
      </c>
      <c r="D45" s="169" t="s">
        <v>81</v>
      </c>
      <c r="E45" s="170" t="s">
        <v>142</v>
      </c>
      <c r="F45" s="180">
        <v>1.4999999999999999E-2</v>
      </c>
      <c r="G45" s="172" t="str">
        <f>Mercado!F11</f>
        <v>Parcial</v>
      </c>
      <c r="H45" s="175">
        <f>Mercado!G11</f>
        <v>6.0000000000000001E-3</v>
      </c>
      <c r="I45" s="140">
        <f>Mercado!H11</f>
        <v>3</v>
      </c>
      <c r="J45" s="140">
        <f>Mercado!I11</f>
        <v>2</v>
      </c>
      <c r="K45" s="140">
        <f>Mercado!J11</f>
        <v>1</v>
      </c>
      <c r="L45" s="140" t="str">
        <f>Mercado!K11</f>
        <v/>
      </c>
      <c r="M45" s="172" t="str">
        <f>Mercado!L11</f>
        <v>Mais que Cumpre</v>
      </c>
      <c r="N45" s="175">
        <f>Mercado!M11</f>
        <v>1.2749999999999999E-2</v>
      </c>
      <c r="O45" s="172">
        <f>Mercado!N11</f>
        <v>0.4705882352941177</v>
      </c>
      <c r="P45" s="172" t="str">
        <f>Mercado!O11</f>
        <v>-</v>
      </c>
      <c r="Q45" s="172" t="str">
        <f>Mercado!P11</f>
        <v>-</v>
      </c>
      <c r="R45" s="172" t="str">
        <f>Mercado!Q11</f>
        <v>-</v>
      </c>
      <c r="S45" s="172" t="str">
        <f>Mercado!R11</f>
        <v>-</v>
      </c>
      <c r="T45" s="172">
        <f>Mercado!S11</f>
        <v>2</v>
      </c>
      <c r="U45" s="172" t="str">
        <f>Mercado!T11</f>
        <v>Baja</v>
      </c>
      <c r="V45" s="142" t="str">
        <f>IF(Mercado!U11=0.5,"",Mercado!U11)</f>
        <v/>
      </c>
      <c r="W45" s="142" t="str">
        <f>IF(Mercado!V11=0.5,"",Mercado!V11)</f>
        <v/>
      </c>
      <c r="X45" s="142" t="str">
        <f>IF(Mercado!W11=0.5,"",Mercado!W11)</f>
        <v/>
      </c>
      <c r="Y45" s="142" t="str">
        <f>IF(Mercado!X11=0.5,"",Mercado!X11)</f>
        <v/>
      </c>
      <c r="Z45" s="142" t="str">
        <f>IF(Mercado!Y11=0.5,"",Mercado!Y11)</f>
        <v/>
      </c>
      <c r="AA45" s="178" t="str">
        <f ca="1">Mercado!Z11</f>
        <v>Retrasado</v>
      </c>
      <c r="AB45" s="172" t="str">
        <f>Mercado!AA11</f>
        <v>Cumpre</v>
      </c>
      <c r="AC45" s="175">
        <f>Mercado!AB11</f>
        <v>1.0499999999999999E-2</v>
      </c>
      <c r="AD45" s="175">
        <f>Mercado!AC11</f>
        <v>0.82352941176470584</v>
      </c>
      <c r="AE45" s="140">
        <f>Mercado!AD11</f>
        <v>3</v>
      </c>
      <c r="AF45" s="140">
        <f>Mercado!AE11</f>
        <v>3</v>
      </c>
      <c r="AG45" s="140">
        <f>Mercado!AF11</f>
        <v>2</v>
      </c>
      <c r="AH45" s="140" t="str">
        <f>Mercado!AG11</f>
        <v/>
      </c>
      <c r="AI45" s="187" t="str">
        <f>IF('Mercado 2'!E16=0,"",'Mercado 2'!E16)</f>
        <v>BC</v>
      </c>
      <c r="AJ45" s="187" t="str">
        <f>IF('Mercado 2'!F16=0,"",'Mercado 2'!F16)</f>
        <v/>
      </c>
      <c r="AK45" s="187" t="str">
        <f>IF('Mercado 2'!G16=0,"",'Mercado 2'!G16)</f>
        <v>X</v>
      </c>
      <c r="AL45" s="187" t="str">
        <f>IF('Mercado 2'!H16=0,"",'Mercado 2'!H16)</f>
        <v/>
      </c>
      <c r="AM45" s="187" t="str">
        <f>IF('Mercado 2'!I16=0,"",'Mercado 2'!I16)</f>
        <v/>
      </c>
      <c r="AN45" s="98">
        <f t="shared" si="7"/>
        <v>4.4999999999999988E-3</v>
      </c>
      <c r="AO45" s="98">
        <f t="shared" si="8"/>
        <v>6.7499999999999991E-3</v>
      </c>
      <c r="AQ45" s="184" t="b">
        <f t="shared" si="3"/>
        <v>1</v>
      </c>
      <c r="AR45" s="184" t="b">
        <f t="shared" si="3"/>
        <v>1</v>
      </c>
      <c r="AS45" s="184" t="b">
        <f t="shared" si="3"/>
        <v>1</v>
      </c>
      <c r="AT45" s="184" t="b">
        <f t="shared" si="3"/>
        <v>1</v>
      </c>
      <c r="AU45" s="188" t="str">
        <f t="shared" si="4"/>
        <v>2.</v>
      </c>
      <c r="AV45" s="184" t="str">
        <f t="shared" si="5"/>
        <v>Qualidade do serviço de instalação</v>
      </c>
      <c r="AW45" s="189">
        <f t="shared" si="6"/>
        <v>1.0499999999999999E-2</v>
      </c>
    </row>
    <row r="46" spans="1:49" ht="45.75" customHeight="1" x14ac:dyDescent="0.3">
      <c r="A46" s="1">
        <v>37</v>
      </c>
      <c r="B46" s="168" t="s">
        <v>14</v>
      </c>
      <c r="C46" s="115" t="s">
        <v>124</v>
      </c>
      <c r="D46" s="169" t="s">
        <v>83</v>
      </c>
      <c r="E46" s="170" t="s">
        <v>143</v>
      </c>
      <c r="F46" s="180">
        <v>1.4999999999999999E-2</v>
      </c>
      <c r="G46" s="172" t="str">
        <f>Mercado!F12</f>
        <v>Não cumpre</v>
      </c>
      <c r="H46" s="175">
        <f>Mercado!G12</f>
        <v>0</v>
      </c>
      <c r="I46" s="140">
        <f>Mercado!H12</f>
        <v>2</v>
      </c>
      <c r="J46" s="140">
        <f>Mercado!I12</f>
        <v>3</v>
      </c>
      <c r="K46" s="140">
        <f>Mercado!J12</f>
        <v>3</v>
      </c>
      <c r="L46" s="140" t="str">
        <f>Mercado!K12</f>
        <v/>
      </c>
      <c r="M46" s="172" t="str">
        <f>Mercado!L12</f>
        <v>Mais que Cumpre</v>
      </c>
      <c r="N46" s="175">
        <f>Mercado!M12</f>
        <v>1.2749999999999999E-2</v>
      </c>
      <c r="O46" s="172">
        <f>Mercado!N12</f>
        <v>0</v>
      </c>
      <c r="P46" s="172" t="str">
        <f>Mercado!O12</f>
        <v>D</v>
      </c>
      <c r="Q46" s="172" t="str">
        <f>Mercado!P12</f>
        <v>D</v>
      </c>
      <c r="R46" s="172" t="str">
        <f>Mercado!Q12</f>
        <v>D</v>
      </c>
      <c r="S46" s="172" t="str">
        <f>Mercado!R12</f>
        <v>-</v>
      </c>
      <c r="T46" s="172">
        <f>Mercado!S12</f>
        <v>2</v>
      </c>
      <c r="U46" s="172" t="str">
        <f>Mercado!T12</f>
        <v>Alta</v>
      </c>
      <c r="V46" s="142" t="str">
        <f>IF(Mercado!U12=0.5,"",Mercado!U12)</f>
        <v/>
      </c>
      <c r="W46" s="142" t="str">
        <f>IF(Mercado!V12=0.5,"",Mercado!V12)</f>
        <v/>
      </c>
      <c r="X46" s="142" t="str">
        <f>IF(Mercado!W12=0.5,"",Mercado!W12)</f>
        <v/>
      </c>
      <c r="Y46" s="142" t="str">
        <f>IF(Mercado!X12=0.5,"",Mercado!X12)</f>
        <v/>
      </c>
      <c r="Z46" s="142" t="str">
        <f>IF(Mercado!Y12=0.5,"",Mercado!Y12)</f>
        <v/>
      </c>
      <c r="AA46" s="178" t="str">
        <f ca="1">Mercado!Z12</f>
        <v>Retrasado</v>
      </c>
      <c r="AB46" s="172" t="str">
        <f>Mercado!AA12</f>
        <v>Mais que cumpre</v>
      </c>
      <c r="AC46" s="175">
        <f>Mercado!AB12</f>
        <v>1.2749999999999999E-2</v>
      </c>
      <c r="AD46" s="175">
        <f>Mercado!AC12</f>
        <v>1</v>
      </c>
      <c r="AE46" s="140">
        <f>Mercado!AD12</f>
        <v>3</v>
      </c>
      <c r="AF46" s="140">
        <f>Mercado!AE12</f>
        <v>3</v>
      </c>
      <c r="AG46" s="140">
        <f>Mercado!AF12</f>
        <v>3</v>
      </c>
      <c r="AH46" s="140" t="str">
        <f>Mercado!AG12</f>
        <v/>
      </c>
      <c r="AI46" s="187" t="str">
        <f>IF('Mercado 3'!E16=0,"",'Mercado 3'!E16)</f>
        <v>BC</v>
      </c>
      <c r="AJ46" s="187" t="str">
        <f>IF('Mercado 3'!F16=0,"",'Mercado 3'!F16)</f>
        <v/>
      </c>
      <c r="AK46" s="187" t="str">
        <f>IF('Mercado 3'!G16=0,"",'Mercado 3'!G16)</f>
        <v/>
      </c>
      <c r="AL46" s="187" t="str">
        <f>IF('Mercado 3'!H16=0,"",'Mercado 3'!H16)</f>
        <v>X</v>
      </c>
      <c r="AM46" s="187" t="str">
        <f>IF('Mercado 3'!I16=0,"",'Mercado 3'!I16)</f>
        <v/>
      </c>
      <c r="AN46" s="98">
        <f t="shared" si="7"/>
        <v>1.2749999999999999E-2</v>
      </c>
      <c r="AO46" s="98">
        <f t="shared" si="8"/>
        <v>1.2749999999999999E-2</v>
      </c>
      <c r="AQ46" s="184" t="b">
        <f t="shared" si="3"/>
        <v>1</v>
      </c>
      <c r="AR46" s="184" t="b">
        <f t="shared" si="3"/>
        <v>1</v>
      </c>
      <c r="AS46" s="184" t="b">
        <f t="shared" si="3"/>
        <v>1</v>
      </c>
      <c r="AT46" s="184" t="b">
        <f t="shared" si="3"/>
        <v>1</v>
      </c>
      <c r="AU46" s="188" t="str">
        <f t="shared" si="4"/>
        <v>3.</v>
      </c>
      <c r="AV46" s="184" t="str">
        <f t="shared" si="5"/>
        <v>Otimização do recolhimento</v>
      </c>
      <c r="AW46" s="189">
        <f t="shared" si="6"/>
        <v>1.2749999999999999E-2</v>
      </c>
    </row>
    <row r="47" spans="1:49" ht="45.75" customHeight="1" x14ac:dyDescent="0.3">
      <c r="A47" s="1">
        <v>38</v>
      </c>
      <c r="B47" s="168" t="s">
        <v>14</v>
      </c>
      <c r="C47" s="115" t="s">
        <v>144</v>
      </c>
      <c r="D47" s="169" t="s">
        <v>85</v>
      </c>
      <c r="E47" s="170" t="s">
        <v>145</v>
      </c>
      <c r="F47" s="180">
        <v>0.02</v>
      </c>
      <c r="G47" s="172" t="str">
        <f>Mercado!F13</f>
        <v>Não cumpre</v>
      </c>
      <c r="H47" s="175">
        <f>Mercado!G13</f>
        <v>0</v>
      </c>
      <c r="I47" s="140">
        <f>Mercado!H13</f>
        <v>1</v>
      </c>
      <c r="J47" s="140" t="str">
        <f>Mercado!I13</f>
        <v/>
      </c>
      <c r="K47" s="140" t="str">
        <f>Mercado!J13</f>
        <v/>
      </c>
      <c r="L47" s="140" t="str">
        <f>Mercado!K13</f>
        <v/>
      </c>
      <c r="M47" s="172" t="str">
        <f>Mercado!L13</f>
        <v>Cumpre</v>
      </c>
      <c r="N47" s="175">
        <f>Mercado!M13</f>
        <v>1.3999999999999999E-2</v>
      </c>
      <c r="O47" s="172">
        <f>Mercado!N13</f>
        <v>0</v>
      </c>
      <c r="P47" s="172" t="str">
        <f>Mercado!O13</f>
        <v>-</v>
      </c>
      <c r="Q47" s="172" t="str">
        <f>Mercado!P13</f>
        <v>D</v>
      </c>
      <c r="R47" s="172" t="str">
        <f>Mercado!Q13</f>
        <v>D</v>
      </c>
      <c r="S47" s="172" t="str">
        <f>Mercado!R13</f>
        <v>-</v>
      </c>
      <c r="T47" s="172">
        <f>Mercado!S13</f>
        <v>2</v>
      </c>
      <c r="U47" s="172" t="str">
        <f>Mercado!T13</f>
        <v>Alta</v>
      </c>
      <c r="V47" s="142" t="str">
        <f>IF(Mercado!U13=0.5,"",Mercado!U13)</f>
        <v/>
      </c>
      <c r="W47" s="142" t="str">
        <f>IF(Mercado!V13=0.5,"",Mercado!V13)</f>
        <v/>
      </c>
      <c r="X47" s="142" t="str">
        <f>IF(Mercado!W13=0.5,"",Mercado!W13)</f>
        <v/>
      </c>
      <c r="Y47" s="142" t="str">
        <f>IF(Mercado!X13=0.5,"",Mercado!X13)</f>
        <v/>
      </c>
      <c r="Z47" s="142" t="str">
        <f>IF(Mercado!Y13=0.5,"",Mercado!Y13)</f>
        <v/>
      </c>
      <c r="AA47" s="178" t="str">
        <f ca="1">Mercado!Z13</f>
        <v>A Tiempo</v>
      </c>
      <c r="AB47" s="172" t="str">
        <f>Mercado!AA13</f>
        <v>Cumpre</v>
      </c>
      <c r="AC47" s="175">
        <f>Mercado!AB13</f>
        <v>1.3999999999999999E-2</v>
      </c>
      <c r="AD47" s="175">
        <f>Mercado!AC13</f>
        <v>1</v>
      </c>
      <c r="AE47" s="140">
        <f>Mercado!AD13</f>
        <v>3</v>
      </c>
      <c r="AF47" s="140">
        <f>Mercado!AE13</f>
        <v>3</v>
      </c>
      <c r="AG47" s="140" t="str">
        <f>Mercado!AF13</f>
        <v/>
      </c>
      <c r="AH47" s="140" t="str">
        <f>Mercado!AG13</f>
        <v/>
      </c>
      <c r="AI47" s="187" t="str">
        <f>IF('Mercado 4'!E16=0,"",'Mercado 4'!E16)</f>
        <v>BC</v>
      </c>
      <c r="AJ47" s="187" t="str">
        <f>IF('Mercado 4'!F16=0,"",'Mercado 4'!F16)</f>
        <v/>
      </c>
      <c r="AK47" s="187" t="str">
        <f>IF('Mercado 4'!G16=0,"",'Mercado 4'!G16)</f>
        <v>X</v>
      </c>
      <c r="AL47" s="187" t="str">
        <f>IF('Mercado 4'!H16=0,"",'Mercado 4'!H16)</f>
        <v/>
      </c>
      <c r="AM47" s="187" t="str">
        <f>IF('Mercado 4'!I16=0,"",'Mercado 4'!I16)</f>
        <v/>
      </c>
      <c r="AN47" s="98">
        <f t="shared" si="7"/>
        <v>1.3999999999999999E-2</v>
      </c>
      <c r="AO47" s="98">
        <f t="shared" si="8"/>
        <v>1.3999999999999999E-2</v>
      </c>
      <c r="AQ47" s="184" t="b">
        <f t="shared" si="3"/>
        <v>1</v>
      </c>
      <c r="AR47" s="184" t="b">
        <f t="shared" si="3"/>
        <v>1</v>
      </c>
      <c r="AS47" s="184" t="b">
        <f t="shared" si="3"/>
        <v>1</v>
      </c>
      <c r="AT47" s="184" t="b">
        <f t="shared" si="3"/>
        <v>1</v>
      </c>
      <c r="AU47" s="188" t="str">
        <f t="shared" si="4"/>
        <v>4.</v>
      </c>
      <c r="AV47" s="184" t="str">
        <f t="shared" si="5"/>
        <v>Tracking de SLA de instalación</v>
      </c>
      <c r="AW47" s="189">
        <f t="shared" si="6"/>
        <v>1.3999999999999999E-2</v>
      </c>
    </row>
    <row r="48" spans="1:49" ht="45.75" customHeight="1" x14ac:dyDescent="0.3">
      <c r="A48" s="1">
        <v>39</v>
      </c>
      <c r="B48" s="168" t="s">
        <v>14</v>
      </c>
      <c r="C48" s="115" t="s">
        <v>144</v>
      </c>
      <c r="D48" s="169" t="s">
        <v>88</v>
      </c>
      <c r="E48" s="170" t="s">
        <v>146</v>
      </c>
      <c r="F48" s="180">
        <v>1.4999999999999999E-2</v>
      </c>
      <c r="G48" s="172" t="str">
        <f>Mercado!F14</f>
        <v>Não cumpre</v>
      </c>
      <c r="H48" s="175">
        <f>Mercado!G14</f>
        <v>0</v>
      </c>
      <c r="I48" s="140">
        <f>Mercado!H14</f>
        <v>1</v>
      </c>
      <c r="J48" s="140">
        <f>Mercado!I14</f>
        <v>1</v>
      </c>
      <c r="K48" s="140" t="str">
        <f>Mercado!J14</f>
        <v/>
      </c>
      <c r="L48" s="140" t="str">
        <f>Mercado!K14</f>
        <v/>
      </c>
      <c r="M48" s="172" t="str">
        <f>Mercado!L14</f>
        <v>Cumpre</v>
      </c>
      <c r="N48" s="175">
        <f>Mercado!M14</f>
        <v>1.0499999999999999E-2</v>
      </c>
      <c r="O48" s="172">
        <f>Mercado!N14</f>
        <v>0</v>
      </c>
      <c r="P48" s="172" t="str">
        <f>Mercado!O14</f>
        <v>-</v>
      </c>
      <c r="Q48" s="172" t="str">
        <f>Mercado!P14</f>
        <v>D</v>
      </c>
      <c r="R48" s="172" t="str">
        <f>Mercado!Q14</f>
        <v>D</v>
      </c>
      <c r="S48" s="172" t="str">
        <f>Mercado!R14</f>
        <v>-</v>
      </c>
      <c r="T48" s="172">
        <f>Mercado!S14</f>
        <v>2</v>
      </c>
      <c r="U48" s="172" t="str">
        <f>Mercado!T14</f>
        <v>Alta</v>
      </c>
      <c r="V48" s="142" t="str">
        <f>IF(Mercado!U14=0.5,"",Mercado!U14)</f>
        <v/>
      </c>
      <c r="W48" s="142" t="str">
        <f>IF(Mercado!V14=0.5,"",Mercado!V14)</f>
        <v/>
      </c>
      <c r="X48" s="142" t="str">
        <f>IF(Mercado!W14=0.5,"",Mercado!W14)</f>
        <v/>
      </c>
      <c r="Y48" s="142" t="str">
        <f>IF(Mercado!X14=0.5,"",Mercado!X14)</f>
        <v/>
      </c>
      <c r="Z48" s="142" t="str">
        <f>IF(Mercado!Y14=0.5,"",Mercado!Y14)</f>
        <v/>
      </c>
      <c r="AA48" s="178" t="str">
        <f ca="1">Mercado!Z14</f>
        <v>Retrasado</v>
      </c>
      <c r="AB48" s="172" t="str">
        <f>Mercado!AA14</f>
        <v>Cumpre</v>
      </c>
      <c r="AC48" s="175">
        <f>Mercado!AB14</f>
        <v>1.0499999999999999E-2</v>
      </c>
      <c r="AD48" s="175">
        <f>Mercado!AC14</f>
        <v>1</v>
      </c>
      <c r="AE48" s="140">
        <f>Mercado!AD14</f>
        <v>3</v>
      </c>
      <c r="AF48" s="140">
        <f>Mercado!AE14</f>
        <v>3</v>
      </c>
      <c r="AG48" s="140" t="str">
        <f>Mercado!AF14</f>
        <v/>
      </c>
      <c r="AH48" s="140" t="str">
        <f>Mercado!AG14</f>
        <v/>
      </c>
      <c r="AI48" s="187" t="str">
        <f>IF('Mercado 5'!E16=0,"",'Mercado 5'!E16)</f>
        <v>NBC</v>
      </c>
      <c r="AJ48" s="187" t="str">
        <f>IF('Mercado 5'!F16=0,"",'Mercado 5'!F16)</f>
        <v/>
      </c>
      <c r="AK48" s="187" t="str">
        <f>IF('Mercado 5'!G16=0,"",'Mercado 5'!G16)</f>
        <v/>
      </c>
      <c r="AL48" s="187" t="str">
        <f>IF('Mercado 5'!H16=0,"",'Mercado 5'!H16)</f>
        <v/>
      </c>
      <c r="AM48" s="187" t="str">
        <f>IF('Mercado 5'!I16=0,"",'Mercado 5'!I16)</f>
        <v/>
      </c>
      <c r="AN48" s="98">
        <f t="shared" si="7"/>
        <v>1.0499999999999999E-2</v>
      </c>
      <c r="AO48" s="98">
        <f t="shared" si="8"/>
        <v>1.0499999999999999E-2</v>
      </c>
      <c r="AQ48" s="184" t="b">
        <f t="shared" si="3"/>
        <v>1</v>
      </c>
      <c r="AR48" s="184" t="b">
        <f t="shared" si="3"/>
        <v>1</v>
      </c>
      <c r="AS48" s="184" t="b">
        <f t="shared" si="3"/>
        <v>1</v>
      </c>
      <c r="AT48" s="184" t="b">
        <f t="shared" si="3"/>
        <v>1</v>
      </c>
      <c r="AU48" s="188" t="str">
        <f t="shared" si="4"/>
        <v>5.</v>
      </c>
      <c r="AV48" s="184" t="str">
        <f t="shared" si="5"/>
        <v>Tracking de SLA de retiro</v>
      </c>
      <c r="AW48" s="189">
        <f t="shared" si="6"/>
        <v>1.0499999999999999E-2</v>
      </c>
    </row>
    <row r="49" spans="1:49" ht="45.75" customHeight="1" x14ac:dyDescent="0.3">
      <c r="A49" s="1">
        <v>40</v>
      </c>
      <c r="B49" s="168" t="s">
        <v>14</v>
      </c>
      <c r="C49" s="115" t="s">
        <v>144</v>
      </c>
      <c r="D49" s="169" t="s">
        <v>90</v>
      </c>
      <c r="E49" s="170" t="s">
        <v>147</v>
      </c>
      <c r="F49" s="180">
        <v>0.02</v>
      </c>
      <c r="G49" s="172" t="str">
        <f>Mercado!F15</f>
        <v>Parcial</v>
      </c>
      <c r="H49" s="175">
        <f>Mercado!G15</f>
        <v>8.0000000000000002E-3</v>
      </c>
      <c r="I49" s="140">
        <f>Mercado!H15</f>
        <v>3</v>
      </c>
      <c r="J49" s="140">
        <f>Mercado!I15</f>
        <v>2</v>
      </c>
      <c r="K49" s="140" t="str">
        <f>Mercado!J15</f>
        <v/>
      </c>
      <c r="L49" s="140" t="str">
        <f>Mercado!K15</f>
        <v/>
      </c>
      <c r="M49" s="172" t="str">
        <f>Mercado!L15</f>
        <v>Cumpre</v>
      </c>
      <c r="N49" s="175">
        <f>Mercado!M15</f>
        <v>1.3999999999999999E-2</v>
      </c>
      <c r="O49" s="172">
        <f>Mercado!N15</f>
        <v>0.57142857142857151</v>
      </c>
      <c r="P49" s="172" t="str">
        <f>Mercado!O15</f>
        <v>-</v>
      </c>
      <c r="Q49" s="172" t="str">
        <f>Mercado!P15</f>
        <v>D</v>
      </c>
      <c r="R49" s="172" t="str">
        <f>Mercado!Q15</f>
        <v>D</v>
      </c>
      <c r="S49" s="172" t="str">
        <f>Mercado!R15</f>
        <v>-</v>
      </c>
      <c r="T49" s="172">
        <f>Mercado!S15</f>
        <v>2</v>
      </c>
      <c r="U49" s="172" t="str">
        <f>Mercado!T15</f>
        <v>Alta</v>
      </c>
      <c r="V49" s="142" t="str">
        <f>IF(Mercado!U15=0.5,"",Mercado!U15)</f>
        <v/>
      </c>
      <c r="W49" s="142" t="str">
        <f>IF(Mercado!V15=0.5,"",Mercado!V15)</f>
        <v/>
      </c>
      <c r="X49" s="142" t="str">
        <f>IF(Mercado!W15=0.5,"",Mercado!W15)</f>
        <v/>
      </c>
      <c r="Y49" s="142" t="str">
        <f>IF(Mercado!X15=0.5,"",Mercado!X15)</f>
        <v/>
      </c>
      <c r="Z49" s="142" t="str">
        <f>IF(Mercado!Y15=0.5,"",Mercado!Y15)</f>
        <v/>
      </c>
      <c r="AA49" s="178" t="str">
        <f ca="1">Mercado!Z15</f>
        <v>A Tiempo</v>
      </c>
      <c r="AB49" s="172" t="str">
        <f>Mercado!AA15</f>
        <v>Cumpre</v>
      </c>
      <c r="AC49" s="175">
        <f>Mercado!AB15</f>
        <v>1.3999999999999999E-2</v>
      </c>
      <c r="AD49" s="175">
        <f>Mercado!AC15</f>
        <v>1</v>
      </c>
      <c r="AE49" s="140">
        <f>Mercado!AD15</f>
        <v>3</v>
      </c>
      <c r="AF49" s="140">
        <f>Mercado!AE15</f>
        <v>3</v>
      </c>
      <c r="AG49" s="140" t="str">
        <f>Mercado!AF15</f>
        <v/>
      </c>
      <c r="AH49" s="140" t="str">
        <f>Mercado!AG15</f>
        <v/>
      </c>
      <c r="AI49" s="187" t="str">
        <f>IF('Mercado 6'!E16=0,"",'Mercado 6'!E16)</f>
        <v>NBC</v>
      </c>
      <c r="AJ49" s="187" t="str">
        <f>IF('Mercado 6'!F16=0,"",'Mercado 6'!F16)</f>
        <v/>
      </c>
      <c r="AK49" s="187" t="str">
        <f>IF('Mercado 6'!G16=0,"",'Mercado 6'!G16)</f>
        <v/>
      </c>
      <c r="AL49" s="187" t="str">
        <f>IF('Mercado 6'!H16=0,"",'Mercado 6'!H16)</f>
        <v/>
      </c>
      <c r="AM49" s="187" t="str">
        <f>IF('Mercado 6'!I16=0,"",'Mercado 6'!I16)</f>
        <v/>
      </c>
      <c r="AN49" s="98">
        <f t="shared" si="7"/>
        <v>5.9999999999999984E-3</v>
      </c>
      <c r="AO49" s="98">
        <f t="shared" si="8"/>
        <v>5.9999999999999984E-3</v>
      </c>
      <c r="AQ49" s="184" t="b">
        <f t="shared" si="3"/>
        <v>1</v>
      </c>
      <c r="AR49" s="184" t="b">
        <f t="shared" si="3"/>
        <v>1</v>
      </c>
      <c r="AS49" s="184" t="b">
        <f t="shared" si="3"/>
        <v>1</v>
      </c>
      <c r="AT49" s="184" t="b">
        <f t="shared" si="3"/>
        <v>1</v>
      </c>
      <c r="AU49" s="188" t="str">
        <f t="shared" si="4"/>
        <v>6.</v>
      </c>
      <c r="AV49" s="184" t="str">
        <f t="shared" si="5"/>
        <v>Análise dos motivos do movimento</v>
      </c>
      <c r="AW49" s="189">
        <f t="shared" si="6"/>
        <v>1.3999999999999999E-2</v>
      </c>
    </row>
    <row r="50" spans="1:49" ht="45.75" customHeight="1" x14ac:dyDescent="0.3">
      <c r="A50" s="1">
        <v>41</v>
      </c>
      <c r="B50" s="168" t="s">
        <v>14</v>
      </c>
      <c r="C50" s="115" t="s">
        <v>148</v>
      </c>
      <c r="D50" s="169" t="s">
        <v>93</v>
      </c>
      <c r="E50" s="170" t="s">
        <v>149</v>
      </c>
      <c r="F50" s="180">
        <v>0.02</v>
      </c>
      <c r="G50" s="172" t="str">
        <f>Mercado!F16</f>
        <v>Não cumpre</v>
      </c>
      <c r="H50" s="175">
        <f>Mercado!G16</f>
        <v>0</v>
      </c>
      <c r="I50" s="140">
        <f>Mercado!H16</f>
        <v>1</v>
      </c>
      <c r="J50" s="140">
        <f>Mercado!I16</f>
        <v>1</v>
      </c>
      <c r="K50" s="140">
        <f>Mercado!J16</f>
        <v>1</v>
      </c>
      <c r="L50" s="140" t="str">
        <f>Mercado!K16</f>
        <v/>
      </c>
      <c r="M50" s="172" t="str">
        <f>Mercado!L16</f>
        <v>Mais que Cumpre</v>
      </c>
      <c r="N50" s="175">
        <f>Mercado!M16</f>
        <v>1.7000000000000001E-2</v>
      </c>
      <c r="O50" s="172">
        <f>Mercado!N16</f>
        <v>0</v>
      </c>
      <c r="P50" s="172" t="str">
        <f>Mercado!O16</f>
        <v>D</v>
      </c>
      <c r="Q50" s="172" t="str">
        <f>Mercado!P16</f>
        <v>D</v>
      </c>
      <c r="R50" s="172" t="str">
        <f>Mercado!Q16</f>
        <v>D</v>
      </c>
      <c r="S50" s="172" t="str">
        <f>Mercado!R16</f>
        <v>-</v>
      </c>
      <c r="T50" s="172">
        <f>Mercado!S16</f>
        <v>2</v>
      </c>
      <c r="U50" s="172" t="str">
        <f>Mercado!T16</f>
        <v>Baja</v>
      </c>
      <c r="V50" s="142" t="str">
        <f>IF(Mercado!U16=0.5,"",Mercado!U16)</f>
        <v/>
      </c>
      <c r="W50" s="142" t="str">
        <f>IF(Mercado!V16=0.5,"",Mercado!V16)</f>
        <v/>
      </c>
      <c r="X50" s="142">
        <f>IF(Mercado!W16=0.5,"",Mercado!W16)</f>
        <v>1</v>
      </c>
      <c r="Y50" s="142">
        <f>IF(Mercado!X16=0.5,"",Mercado!X16)</f>
        <v>1</v>
      </c>
      <c r="Z50" s="142">
        <f>IF(Mercado!Y16=0.5,"",Mercado!Y16)</f>
        <v>1</v>
      </c>
      <c r="AA50" s="178" t="str">
        <f ca="1">Mercado!Z16</f>
        <v>Retrasado</v>
      </c>
      <c r="AB50" s="172" t="str">
        <f>Mercado!AA16</f>
        <v>Cumpre</v>
      </c>
      <c r="AC50" s="175">
        <f>Mercado!AB16</f>
        <v>1.3999999999999999E-2</v>
      </c>
      <c r="AD50" s="175">
        <f>Mercado!AC16</f>
        <v>0.82352941176470573</v>
      </c>
      <c r="AE50" s="140">
        <f>Mercado!AD16</f>
        <v>3</v>
      </c>
      <c r="AF50" s="140">
        <f>Mercado!AE16</f>
        <v>3</v>
      </c>
      <c r="AG50" s="140">
        <f>Mercado!AF16</f>
        <v>2</v>
      </c>
      <c r="AH50" s="140">
        <f>Mercado!AG16</f>
        <v>2</v>
      </c>
      <c r="AI50" s="187" t="str">
        <f>IF('Mercado 7'!E16=0,"",'Mercado 7'!E16)</f>
        <v>NBC</v>
      </c>
      <c r="AJ50" s="187" t="str">
        <f>IF('Mercado 7'!F16=0,"",'Mercado 7'!F16)</f>
        <v/>
      </c>
      <c r="AK50" s="187" t="str">
        <f>IF('Mercado 7'!G16=0,"",'Mercado 7'!G16)</f>
        <v/>
      </c>
      <c r="AL50" s="187" t="str">
        <f>IF('Mercado 7'!H16=0,"",'Mercado 7'!H16)</f>
        <v/>
      </c>
      <c r="AM50" s="187" t="str">
        <f>IF('Mercado 7'!I16=0,"",'Mercado 7'!I16)</f>
        <v/>
      </c>
      <c r="AN50" s="98">
        <f t="shared" si="7"/>
        <v>1.3999999999999999E-2</v>
      </c>
      <c r="AO50" s="98">
        <f t="shared" si="8"/>
        <v>1.7000000000000001E-2</v>
      </c>
      <c r="AQ50" s="184" t="b">
        <f t="shared" si="3"/>
        <v>1</v>
      </c>
      <c r="AR50" s="184" t="b">
        <f t="shared" si="3"/>
        <v>1</v>
      </c>
      <c r="AS50" s="184" t="b">
        <f t="shared" si="3"/>
        <v>1</v>
      </c>
      <c r="AT50" s="184" t="b">
        <f t="shared" si="3"/>
        <v>1</v>
      </c>
      <c r="AU50" s="188" t="str">
        <f t="shared" si="4"/>
        <v>7.</v>
      </c>
      <c r="AV50" s="184" t="str">
        <f t="shared" si="5"/>
        <v>Gestão da lista foco</v>
      </c>
      <c r="AW50" s="189">
        <f t="shared" si="6"/>
        <v>1.3999999999999999E-2</v>
      </c>
    </row>
    <row r="51" spans="1:49" ht="45.75" customHeight="1" x14ac:dyDescent="0.3">
      <c r="A51" s="1">
        <v>42</v>
      </c>
      <c r="B51" s="168" t="s">
        <v>14</v>
      </c>
      <c r="C51" s="115" t="s">
        <v>148</v>
      </c>
      <c r="D51" s="169" t="s">
        <v>95</v>
      </c>
      <c r="E51" s="170" t="s">
        <v>150</v>
      </c>
      <c r="F51" s="180">
        <v>2.5000000000000001E-2</v>
      </c>
      <c r="G51" s="172" t="str">
        <f>Mercado!F17</f>
        <v>Parcial</v>
      </c>
      <c r="H51" s="175">
        <f>Mercado!G17</f>
        <v>1.0000000000000002E-2</v>
      </c>
      <c r="I51" s="140">
        <f>Mercado!H17</f>
        <v>3</v>
      </c>
      <c r="J51" s="140">
        <f>Mercado!I17</f>
        <v>1</v>
      </c>
      <c r="K51" s="140">
        <f>Mercado!J17</f>
        <v>3</v>
      </c>
      <c r="L51" s="140" t="str">
        <f>Mercado!K17</f>
        <v/>
      </c>
      <c r="M51" s="172" t="str">
        <f>Mercado!L17</f>
        <v>Mais que Cumpre</v>
      </c>
      <c r="N51" s="175">
        <f>Mercado!M17</f>
        <v>2.1250000000000002E-2</v>
      </c>
      <c r="O51" s="172">
        <f>Mercado!N17</f>
        <v>0.4705882352941177</v>
      </c>
      <c r="P51" s="172" t="str">
        <f>Mercado!O17</f>
        <v>D</v>
      </c>
      <c r="Q51" s="172" t="str">
        <f>Mercado!P17</f>
        <v>D</v>
      </c>
      <c r="R51" s="172" t="str">
        <f>Mercado!Q17</f>
        <v>D</v>
      </c>
      <c r="S51" s="172" t="str">
        <f>Mercado!R17</f>
        <v>-</v>
      </c>
      <c r="T51" s="172">
        <f>Mercado!S17</f>
        <v>2</v>
      </c>
      <c r="U51" s="172" t="str">
        <f>Mercado!T17</f>
        <v>Alta</v>
      </c>
      <c r="V51" s="142" t="str">
        <f>IF(Mercado!U17=0.5,"",Mercado!U17)</f>
        <v/>
      </c>
      <c r="W51" s="142" t="str">
        <f>IF(Mercado!V17=0.5,"",Mercado!V17)</f>
        <v/>
      </c>
      <c r="X51" s="142" t="str">
        <f>IF(Mercado!W17=0.5,"",Mercado!W17)</f>
        <v/>
      </c>
      <c r="Y51" s="142" t="str">
        <f>IF(Mercado!X17=0.5,"",Mercado!X17)</f>
        <v/>
      </c>
      <c r="Z51" s="142" t="str">
        <f>IF(Mercado!Y17=0.5,"",Mercado!Y17)</f>
        <v/>
      </c>
      <c r="AA51" s="178" t="str">
        <f ca="1">Mercado!Z17</f>
        <v>Retrasado</v>
      </c>
      <c r="AB51" s="172" t="str">
        <f>Mercado!AA17</f>
        <v>Cumpre</v>
      </c>
      <c r="AC51" s="175">
        <f>Mercado!AB17</f>
        <v>1.7499999999999998E-2</v>
      </c>
      <c r="AD51" s="175">
        <f>Mercado!AC17</f>
        <v>0.82352941176470573</v>
      </c>
      <c r="AE51" s="140">
        <f>Mercado!AD17</f>
        <v>3</v>
      </c>
      <c r="AF51" s="140">
        <f>Mercado!AE17</f>
        <v>3</v>
      </c>
      <c r="AG51" s="140">
        <f>Mercado!AF17</f>
        <v>2</v>
      </c>
      <c r="AH51" s="140">
        <f>Mercado!AG17</f>
        <v>3</v>
      </c>
      <c r="AI51" s="187" t="str">
        <f>IF('Mercado 8'!E16=0,"",'Mercado 8'!E16)</f>
        <v>NBC</v>
      </c>
      <c r="AJ51" s="187" t="str">
        <f>IF('Mercado 8'!F16=0,"",'Mercado 8'!F16)</f>
        <v/>
      </c>
      <c r="AK51" s="187" t="str">
        <f>IF('Mercado 8'!G16=0,"",'Mercado 8'!G16)</f>
        <v/>
      </c>
      <c r="AL51" s="187" t="str">
        <f>IF('Mercado 8'!H16=0,"",'Mercado 8'!H16)</f>
        <v/>
      </c>
      <c r="AM51" s="187" t="str">
        <f>IF('Mercado 8'!I16=0,"",'Mercado 8'!I16)</f>
        <v/>
      </c>
      <c r="AN51" s="98">
        <f t="shared" si="7"/>
        <v>7.4999999999999963E-3</v>
      </c>
      <c r="AO51" s="98">
        <f t="shared" si="8"/>
        <v>1.125E-2</v>
      </c>
      <c r="AQ51" s="184" t="b">
        <f t="shared" si="3"/>
        <v>1</v>
      </c>
      <c r="AR51" s="184" t="b">
        <f t="shared" si="3"/>
        <v>1</v>
      </c>
      <c r="AS51" s="184" t="b">
        <f t="shared" si="3"/>
        <v>0</v>
      </c>
      <c r="AT51" s="184" t="b">
        <f t="shared" si="3"/>
        <v>1</v>
      </c>
      <c r="AU51" s="188" t="str">
        <f t="shared" si="4"/>
        <v>8.</v>
      </c>
      <c r="AV51" s="184" t="str">
        <f t="shared" si="5"/>
        <v>Metas de instalação (novos e usados)</v>
      </c>
      <c r="AW51" s="189">
        <f t="shared" si="6"/>
        <v>1.7499999999999998E-2</v>
      </c>
    </row>
    <row r="52" spans="1:49" ht="45.75" customHeight="1" x14ac:dyDescent="0.3">
      <c r="A52" s="1">
        <v>43</v>
      </c>
      <c r="B52" s="168" t="s">
        <v>14</v>
      </c>
      <c r="C52" s="115" t="s">
        <v>148</v>
      </c>
      <c r="D52" s="169" t="s">
        <v>97</v>
      </c>
      <c r="E52" s="170" t="s">
        <v>151</v>
      </c>
      <c r="F52" s="180">
        <v>0.02</v>
      </c>
      <c r="G52" s="172" t="str">
        <f>Mercado!F18</f>
        <v>Não cumpre</v>
      </c>
      <c r="H52" s="175">
        <f>Mercado!G18</f>
        <v>0</v>
      </c>
      <c r="I52" s="140">
        <f>Mercado!H18</f>
        <v>2</v>
      </c>
      <c r="J52" s="140">
        <f>Mercado!I18</f>
        <v>3</v>
      </c>
      <c r="K52" s="140" t="str">
        <f>Mercado!J18</f>
        <v/>
      </c>
      <c r="L52" s="140" t="str">
        <f>Mercado!K18</f>
        <v/>
      </c>
      <c r="M52" s="172" t="str">
        <f>Mercado!L18</f>
        <v>Cumpre</v>
      </c>
      <c r="N52" s="175">
        <f>Mercado!M18</f>
        <v>1.3999999999999999E-2</v>
      </c>
      <c r="O52" s="172">
        <f>Mercado!N18</f>
        <v>0</v>
      </c>
      <c r="P52" s="172" t="str">
        <f>Mercado!O18</f>
        <v>-</v>
      </c>
      <c r="Q52" s="172" t="str">
        <f>Mercado!P18</f>
        <v>D</v>
      </c>
      <c r="R52" s="172" t="str">
        <f>Mercado!Q18</f>
        <v>-</v>
      </c>
      <c r="S52" s="172" t="str">
        <f>Mercado!R18</f>
        <v>-</v>
      </c>
      <c r="T52" s="172">
        <f>Mercado!S18</f>
        <v>2</v>
      </c>
      <c r="U52" s="172" t="str">
        <f>Mercado!T18</f>
        <v>Baja</v>
      </c>
      <c r="V52" s="142" t="str">
        <f>IF(Mercado!U18=0.5,"",Mercado!U18)</f>
        <v/>
      </c>
      <c r="W52" s="142" t="str">
        <f>IF(Mercado!V18=0.5,"",Mercado!V18)</f>
        <v/>
      </c>
      <c r="X52" s="142" t="str">
        <f>IF(Mercado!W18=0.5,"",Mercado!W18)</f>
        <v/>
      </c>
      <c r="Y52" s="142" t="str">
        <f>IF(Mercado!X18=0.5,"",Mercado!X18)</f>
        <v/>
      </c>
      <c r="Z52" s="142" t="str">
        <f>IF(Mercado!Y18=0.5,"",Mercado!Y18)</f>
        <v/>
      </c>
      <c r="AA52" s="178" t="str">
        <f ca="1">Mercado!Z18</f>
        <v>A Tiempo</v>
      </c>
      <c r="AB52" s="172" t="str">
        <f>Mercado!AA18</f>
        <v>Cumpre</v>
      </c>
      <c r="AC52" s="175">
        <f>Mercado!AB18</f>
        <v>1.3999999999999999E-2</v>
      </c>
      <c r="AD52" s="175">
        <f>Mercado!AC18</f>
        <v>1</v>
      </c>
      <c r="AE52" s="140">
        <f>Mercado!AD18</f>
        <v>3</v>
      </c>
      <c r="AF52" s="140">
        <f>Mercado!AE18</f>
        <v>3</v>
      </c>
      <c r="AG52" s="140" t="str">
        <f>Mercado!AF18</f>
        <v/>
      </c>
      <c r="AH52" s="140" t="str">
        <f>Mercado!AG18</f>
        <v/>
      </c>
      <c r="AI52" s="187" t="str">
        <f>IF('Mercado 9'!E16=0,"",'Mercado 9'!E16)</f>
        <v>BC</v>
      </c>
      <c r="AJ52" s="187" t="str">
        <f>IF('Mercado 9'!F16=0,"",'Mercado 9'!F16)</f>
        <v/>
      </c>
      <c r="AK52" s="187" t="str">
        <f>IF('Mercado 9'!G16=0,"",'Mercado 9'!G16)</f>
        <v>X</v>
      </c>
      <c r="AL52" s="187" t="str">
        <f>IF('Mercado 9'!H16=0,"",'Mercado 9'!H16)</f>
        <v/>
      </c>
      <c r="AM52" s="187" t="str">
        <f>IF('Mercado 9'!I16=0,"",'Mercado 9'!I16)</f>
        <v/>
      </c>
      <c r="AN52" s="98">
        <f t="shared" si="7"/>
        <v>1.3999999999999999E-2</v>
      </c>
      <c r="AO52" s="98">
        <f t="shared" si="8"/>
        <v>1.3999999999999999E-2</v>
      </c>
      <c r="AQ52" s="184" t="b">
        <f t="shared" si="3"/>
        <v>1</v>
      </c>
      <c r="AR52" s="184" t="b">
        <f t="shared" si="3"/>
        <v>1</v>
      </c>
      <c r="AS52" s="184" t="b">
        <f t="shared" si="3"/>
        <v>1</v>
      </c>
      <c r="AT52" s="184" t="b">
        <f t="shared" si="3"/>
        <v>1</v>
      </c>
      <c r="AU52" s="188" t="str">
        <f t="shared" si="4"/>
        <v>9.</v>
      </c>
      <c r="AV52" s="184" t="str">
        <f t="shared" si="5"/>
        <v>Negociação de equipamentos</v>
      </c>
      <c r="AW52" s="189">
        <f t="shared" si="6"/>
        <v>1.3999999999999999E-2</v>
      </c>
    </row>
    <row r="53" spans="1:49" ht="45.75" customHeight="1" x14ac:dyDescent="0.3">
      <c r="A53" s="1">
        <v>44</v>
      </c>
      <c r="B53" s="168" t="s">
        <v>14</v>
      </c>
      <c r="C53" s="115" t="s">
        <v>152</v>
      </c>
      <c r="D53" s="169" t="s">
        <v>100</v>
      </c>
      <c r="E53" s="170" t="s">
        <v>153</v>
      </c>
      <c r="F53" s="180">
        <v>0.02</v>
      </c>
      <c r="G53" s="172" t="str">
        <f>Mercado!F19</f>
        <v>Não cumpre</v>
      </c>
      <c r="H53" s="175">
        <f>Mercado!G19</f>
        <v>0</v>
      </c>
      <c r="I53" s="140">
        <f>Mercado!H19</f>
        <v>1</v>
      </c>
      <c r="J53" s="140">
        <f>Mercado!I19</f>
        <v>3</v>
      </c>
      <c r="K53" s="140" t="str">
        <f>Mercado!J19</f>
        <v/>
      </c>
      <c r="L53" s="140">
        <f>Mercado!K19</f>
        <v>3</v>
      </c>
      <c r="M53" s="172" t="str">
        <f>Mercado!L19</f>
        <v>Melhor Prática</v>
      </c>
      <c r="N53" s="175">
        <f>Mercado!M19</f>
        <v>0.02</v>
      </c>
      <c r="O53" s="172">
        <f>Mercado!N19</f>
        <v>0</v>
      </c>
      <c r="P53" s="172" t="str">
        <f>Mercado!O19</f>
        <v>-</v>
      </c>
      <c r="Q53" s="172" t="str">
        <f>Mercado!P19</f>
        <v>D</v>
      </c>
      <c r="R53" s="172" t="str">
        <f>Mercado!Q19</f>
        <v>-</v>
      </c>
      <c r="S53" s="172" t="str">
        <f>Mercado!R19</f>
        <v>-</v>
      </c>
      <c r="T53" s="172">
        <f>Mercado!S19</f>
        <v>3</v>
      </c>
      <c r="U53" s="172" t="str">
        <f>Mercado!T19</f>
        <v>Baja</v>
      </c>
      <c r="V53" s="142" t="str">
        <f>IF(Mercado!U19=0.5,"",Mercado!U19)</f>
        <v/>
      </c>
      <c r="W53" s="142" t="str">
        <f>IF(Mercado!V19=0.5,"",Mercado!V19)</f>
        <v/>
      </c>
      <c r="X53" s="142" t="str">
        <f>IF(Mercado!W19=0.5,"",Mercado!W19)</f>
        <v/>
      </c>
      <c r="Y53" s="142" t="str">
        <f>IF(Mercado!X19=0.5,"",Mercado!X19)</f>
        <v/>
      </c>
      <c r="Z53" s="142" t="str">
        <f>IF(Mercado!Y19=0.5,"",Mercado!Y19)</f>
        <v/>
      </c>
      <c r="AA53" s="178" t="str">
        <f ca="1">Mercado!Z19</f>
        <v>A Tiempo</v>
      </c>
      <c r="AB53" s="172" t="str">
        <f>Mercado!AA19</f>
        <v>Cumpre</v>
      </c>
      <c r="AC53" s="175">
        <f>Mercado!AB19</f>
        <v>1.3999999999999999E-2</v>
      </c>
      <c r="AD53" s="175">
        <f>Mercado!AC19</f>
        <v>0.7</v>
      </c>
      <c r="AE53" s="140">
        <f>Mercado!AD19</f>
        <v>3</v>
      </c>
      <c r="AF53" s="140">
        <f>Mercado!AE19</f>
        <v>3</v>
      </c>
      <c r="AG53" s="140" t="str">
        <f>Mercado!AF19</f>
        <v/>
      </c>
      <c r="AH53" s="140">
        <f>Mercado!AG19</f>
        <v>3</v>
      </c>
      <c r="AI53" s="187" t="str">
        <f>IF('Mercado 10'!E16=0,"",'Mercado 10'!E16)</f>
        <v>BC</v>
      </c>
      <c r="AJ53" s="187" t="str">
        <f>IF('Mercado 10'!F16=0,"",'Mercado 10'!F16)</f>
        <v/>
      </c>
      <c r="AK53" s="187" t="str">
        <f>IF('Mercado 10'!G16=0,"",'Mercado 10'!G16)</f>
        <v/>
      </c>
      <c r="AL53" s="187" t="str">
        <f>IF('Mercado 10'!H16=0,"",'Mercado 10'!H16)</f>
        <v/>
      </c>
      <c r="AM53" s="187" t="str">
        <f>IF('Mercado 10'!I16=0,"",'Mercado 10'!I16)</f>
        <v>X</v>
      </c>
      <c r="AN53" s="98">
        <f t="shared" si="7"/>
        <v>1.3999999999999999E-2</v>
      </c>
      <c r="AO53" s="98">
        <f t="shared" si="8"/>
        <v>0.02</v>
      </c>
      <c r="AQ53" s="184" t="b">
        <f t="shared" si="3"/>
        <v>1</v>
      </c>
      <c r="AR53" s="184" t="b">
        <f t="shared" si="3"/>
        <v>1</v>
      </c>
      <c r="AS53" s="184" t="b">
        <f t="shared" si="3"/>
        <v>1</v>
      </c>
      <c r="AT53" s="184" t="b">
        <f t="shared" si="3"/>
        <v>1</v>
      </c>
      <c r="AU53" s="188" t="str">
        <f t="shared" si="4"/>
        <v>10.</v>
      </c>
      <c r="AV53" s="184" t="str">
        <f t="shared" si="5"/>
        <v>Atratividade</v>
      </c>
      <c r="AW53" s="189">
        <f t="shared" si="6"/>
        <v>1.3999999999999999E-2</v>
      </c>
    </row>
    <row r="54" spans="1:49" ht="45.75" customHeight="1" x14ac:dyDescent="0.3">
      <c r="A54" s="1">
        <v>45</v>
      </c>
      <c r="B54" s="168" t="s">
        <v>14</v>
      </c>
      <c r="C54" s="115" t="s">
        <v>152</v>
      </c>
      <c r="D54" s="169" t="s">
        <v>103</v>
      </c>
      <c r="E54" s="170" t="s">
        <v>154</v>
      </c>
      <c r="F54" s="180">
        <v>1.4999999999999999E-2</v>
      </c>
      <c r="G54" s="172" t="str">
        <f>Mercado!F20</f>
        <v>Não cumpre</v>
      </c>
      <c r="H54" s="175">
        <f>Mercado!G20</f>
        <v>0</v>
      </c>
      <c r="I54" s="140">
        <f>Mercado!H20</f>
        <v>1</v>
      </c>
      <c r="J54" s="140">
        <f>Mercado!I20</f>
        <v>1</v>
      </c>
      <c r="K54" s="140" t="str">
        <f>Mercado!J20</f>
        <v/>
      </c>
      <c r="L54" s="140" t="str">
        <f>Mercado!K20</f>
        <v/>
      </c>
      <c r="M54" s="172" t="str">
        <f>Mercado!L20</f>
        <v>Cumpre</v>
      </c>
      <c r="N54" s="175">
        <f>Mercado!M20</f>
        <v>1.0499999999999999E-2</v>
      </c>
      <c r="O54" s="172">
        <f>Mercado!N20</f>
        <v>0</v>
      </c>
      <c r="P54" s="172" t="str">
        <f>Mercado!O20</f>
        <v>D</v>
      </c>
      <c r="Q54" s="172" t="str">
        <f>Mercado!P20</f>
        <v>D</v>
      </c>
      <c r="R54" s="172" t="str">
        <f>Mercado!Q20</f>
        <v>-</v>
      </c>
      <c r="S54" s="172" t="str">
        <f>Mercado!R20</f>
        <v>-</v>
      </c>
      <c r="T54" s="172">
        <f>Mercado!S20</f>
        <v>2</v>
      </c>
      <c r="U54" s="172" t="str">
        <f>Mercado!T20</f>
        <v>Baja</v>
      </c>
      <c r="V54" s="142" t="str">
        <f>IF(Mercado!U20=0.5,"",Mercado!U20)</f>
        <v/>
      </c>
      <c r="W54" s="142" t="str">
        <f>IF(Mercado!V20=0.5,"",Mercado!V20)</f>
        <v/>
      </c>
      <c r="X54" s="142" t="str">
        <f>IF(Mercado!W20=0.5,"",Mercado!W20)</f>
        <v/>
      </c>
      <c r="Y54" s="142" t="str">
        <f>IF(Mercado!X20=0.5,"",Mercado!X20)</f>
        <v/>
      </c>
      <c r="Z54" s="142" t="str">
        <f>IF(Mercado!Y20=0.5,"",Mercado!Y20)</f>
        <v/>
      </c>
      <c r="AA54" s="178" t="str">
        <f ca="1">Mercado!Z20</f>
        <v>A Tiempo</v>
      </c>
      <c r="AB54" s="172" t="str">
        <f>Mercado!AA20</f>
        <v>Cumpre</v>
      </c>
      <c r="AC54" s="175">
        <f>Mercado!AB20</f>
        <v>1.0499999999999999E-2</v>
      </c>
      <c r="AD54" s="175">
        <f>Mercado!AC20</f>
        <v>1</v>
      </c>
      <c r="AE54" s="140">
        <f>Mercado!AD20</f>
        <v>3</v>
      </c>
      <c r="AF54" s="140">
        <f>Mercado!AE20</f>
        <v>3</v>
      </c>
      <c r="AG54" s="140" t="str">
        <f>Mercado!AF20</f>
        <v/>
      </c>
      <c r="AH54" s="140" t="str">
        <f>Mercado!AG20</f>
        <v/>
      </c>
      <c r="AI54" s="187" t="str">
        <f>IF('Mercado 11'!E16=0,"",'Mercado 11'!E16)</f>
        <v>NBC</v>
      </c>
      <c r="AJ54" s="187" t="str">
        <f>IF('Mercado 11'!F16=0,"",'Mercado 11'!F16)</f>
        <v/>
      </c>
      <c r="AK54" s="187" t="str">
        <f>IF('Mercado 11'!G16=0,"",'Mercado 11'!G16)</f>
        <v/>
      </c>
      <c r="AL54" s="187" t="str">
        <f>IF('Mercado 11'!H16=0,"",'Mercado 11'!H16)</f>
        <v/>
      </c>
      <c r="AM54" s="187" t="str">
        <f>IF('Mercado 11'!I16=0,"",'Mercado 11'!I16)</f>
        <v/>
      </c>
      <c r="AN54" s="98">
        <f t="shared" si="7"/>
        <v>1.0499999999999999E-2</v>
      </c>
      <c r="AO54" s="98">
        <f t="shared" si="8"/>
        <v>1.0499999999999999E-2</v>
      </c>
      <c r="AQ54" s="184" t="b">
        <f t="shared" si="3"/>
        <v>1</v>
      </c>
      <c r="AR54" s="184" t="b">
        <f t="shared" si="3"/>
        <v>1</v>
      </c>
      <c r="AS54" s="184" t="b">
        <f t="shared" si="3"/>
        <v>1</v>
      </c>
      <c r="AT54" s="184" t="b">
        <f t="shared" si="3"/>
        <v>1</v>
      </c>
      <c r="AU54" s="188" t="str">
        <f t="shared" si="4"/>
        <v>11.</v>
      </c>
      <c r="AV54" s="184" t="str">
        <f t="shared" si="5"/>
        <v>Inteligência de mercado</v>
      </c>
      <c r="AW54" s="189">
        <f t="shared" si="6"/>
        <v>1.0499999999999999E-2</v>
      </c>
    </row>
    <row r="55" spans="1:49" ht="45.75" customHeight="1" x14ac:dyDescent="0.3">
      <c r="A55" s="1">
        <v>46</v>
      </c>
      <c r="B55" s="168" t="s">
        <v>14</v>
      </c>
      <c r="C55" s="115" t="s">
        <v>152</v>
      </c>
      <c r="D55" s="169" t="s">
        <v>106</v>
      </c>
      <c r="E55" s="170" t="s">
        <v>155</v>
      </c>
      <c r="F55" s="180">
        <v>1.4999999999999999E-2</v>
      </c>
      <c r="G55" s="172" t="str">
        <f>Mercado!F21</f>
        <v>Parcial</v>
      </c>
      <c r="H55" s="175">
        <f>Mercado!G21</f>
        <v>6.0000000000000001E-3</v>
      </c>
      <c r="I55" s="140">
        <f>Mercado!H21</f>
        <v>3</v>
      </c>
      <c r="J55" s="140">
        <f>Mercado!I21</f>
        <v>1</v>
      </c>
      <c r="K55" s="140">
        <f>Mercado!J21</f>
        <v>1</v>
      </c>
      <c r="L55" s="140" t="str">
        <f>Mercado!K21</f>
        <v/>
      </c>
      <c r="M55" s="172" t="str">
        <f>Mercado!L21</f>
        <v>Mais que Cumpre</v>
      </c>
      <c r="N55" s="175">
        <f>Mercado!M21</f>
        <v>1.2749999999999999E-2</v>
      </c>
      <c r="O55" s="172">
        <f>Mercado!N21</f>
        <v>0.4705882352941177</v>
      </c>
      <c r="P55" s="172" t="str">
        <f>Mercado!O21</f>
        <v>-</v>
      </c>
      <c r="Q55" s="172" t="str">
        <f>Mercado!P21</f>
        <v>D</v>
      </c>
      <c r="R55" s="172" t="str">
        <f>Mercado!Q21</f>
        <v>D</v>
      </c>
      <c r="S55" s="172" t="str">
        <f>Mercado!R21</f>
        <v>D</v>
      </c>
      <c r="T55" s="172">
        <f>Mercado!S21</f>
        <v>3</v>
      </c>
      <c r="U55" s="172" t="str">
        <f>Mercado!T21</f>
        <v>Alta</v>
      </c>
      <c r="V55" s="142" t="str">
        <f>IF(Mercado!U21=0.5,"",Mercado!U21)</f>
        <v/>
      </c>
      <c r="W55" s="142" t="str">
        <f>IF(Mercado!V21=0.5,"",Mercado!V21)</f>
        <v/>
      </c>
      <c r="X55" s="142" t="str">
        <f>IF(Mercado!W21=0.5,"",Mercado!W21)</f>
        <v/>
      </c>
      <c r="Y55" s="142" t="str">
        <f>IF(Mercado!X21=0.5,"",Mercado!X21)</f>
        <v/>
      </c>
      <c r="Z55" s="142" t="str">
        <f>IF(Mercado!Y21=0.5,"",Mercado!Y21)</f>
        <v/>
      </c>
      <c r="AA55" s="178" t="str">
        <f ca="1">Mercado!Z21</f>
        <v>Retrasado</v>
      </c>
      <c r="AB55" s="172" t="str">
        <f>Mercado!AA21</f>
        <v>Parcial</v>
      </c>
      <c r="AC55" s="175">
        <f>Mercado!AB21</f>
        <v>6.0000000000000001E-3</v>
      </c>
      <c r="AD55" s="175">
        <f>Mercado!AC21</f>
        <v>0.4705882352941177</v>
      </c>
      <c r="AE55" s="140">
        <f>Mercado!AD21</f>
        <v>3</v>
      </c>
      <c r="AF55" s="140">
        <f>Mercado!AE21</f>
        <v>1</v>
      </c>
      <c r="AG55" s="140">
        <f>Mercado!AF21</f>
        <v>3</v>
      </c>
      <c r="AH55" s="140" t="str">
        <f>Mercado!AG21</f>
        <v/>
      </c>
      <c r="AI55" s="187" t="str">
        <f>IF('Mercado 12'!E16=0,"",'Mercado 12'!E16)</f>
        <v>NBC</v>
      </c>
      <c r="AJ55" s="187" t="str">
        <f>IF('Mercado 12'!F16=0,"",'Mercado 12'!F16)</f>
        <v/>
      </c>
      <c r="AK55" s="187" t="str">
        <f>IF('Mercado 12'!G16=0,"",'Mercado 12'!G16)</f>
        <v/>
      </c>
      <c r="AL55" s="187" t="str">
        <f>IF('Mercado 12'!H16=0,"",'Mercado 12'!H16)</f>
        <v/>
      </c>
      <c r="AM55" s="187" t="str">
        <f>IF('Mercado 12'!I16=0,"",'Mercado 12'!I16)</f>
        <v/>
      </c>
      <c r="AN55" s="98">
        <f t="shared" si="7"/>
        <v>0</v>
      </c>
      <c r="AO55" s="98">
        <f t="shared" si="8"/>
        <v>6.7499999999999991E-3</v>
      </c>
      <c r="AQ55" s="184" t="b">
        <f t="shared" si="3"/>
        <v>1</v>
      </c>
      <c r="AR55" s="184" t="b">
        <f t="shared" si="3"/>
        <v>1</v>
      </c>
      <c r="AS55" s="184" t="b">
        <f t="shared" si="3"/>
        <v>1</v>
      </c>
      <c r="AT55" s="184" t="b">
        <f t="shared" si="3"/>
        <v>1</v>
      </c>
      <c r="AU55" s="188" t="str">
        <f t="shared" si="4"/>
        <v>12.</v>
      </c>
      <c r="AV55" s="184" t="str">
        <f t="shared" si="5"/>
        <v>Gestão de equipamentos do cliente</v>
      </c>
      <c r="AW55" s="189">
        <f t="shared" si="6"/>
        <v>6.0000000000000001E-3</v>
      </c>
    </row>
    <row r="56" spans="1:49" ht="45.75" customHeight="1" x14ac:dyDescent="0.3">
      <c r="A56" s="1">
        <v>47</v>
      </c>
      <c r="B56" s="168" t="s">
        <v>14</v>
      </c>
      <c r="C56" s="115" t="s">
        <v>152</v>
      </c>
      <c r="D56" s="169" t="s">
        <v>108</v>
      </c>
      <c r="E56" s="170" t="s">
        <v>156</v>
      </c>
      <c r="F56" s="180">
        <v>5.0000000000000001E-3</v>
      </c>
      <c r="G56" s="172" t="str">
        <f>Mercado!F22</f>
        <v>Parcial</v>
      </c>
      <c r="H56" s="175">
        <f>Mercado!G22</f>
        <v>2E-3</v>
      </c>
      <c r="I56" s="140">
        <f>Mercado!H22</f>
        <v>3</v>
      </c>
      <c r="J56" s="140">
        <f>Mercado!I22</f>
        <v>2</v>
      </c>
      <c r="K56" s="140">
        <f>Mercado!J22</f>
        <v>3</v>
      </c>
      <c r="L56" s="140" t="str">
        <f>Mercado!K22</f>
        <v/>
      </c>
      <c r="M56" s="172" t="str">
        <f>Mercado!L22</f>
        <v>Mais que Cumpre</v>
      </c>
      <c r="N56" s="175">
        <f>Mercado!M22</f>
        <v>4.2500000000000003E-3</v>
      </c>
      <c r="O56" s="172">
        <f>Mercado!N22</f>
        <v>0.47058823529411764</v>
      </c>
      <c r="P56" s="172" t="str">
        <f>Mercado!O22</f>
        <v>-</v>
      </c>
      <c r="Q56" s="172" t="str">
        <f>Mercado!P22</f>
        <v>-</v>
      </c>
      <c r="R56" s="172" t="str">
        <f>Mercado!Q22</f>
        <v>D</v>
      </c>
      <c r="S56" s="172" t="str">
        <f>Mercado!R22</f>
        <v>D</v>
      </c>
      <c r="T56" s="172">
        <f>Mercado!S22</f>
        <v>3</v>
      </c>
      <c r="U56" s="172" t="str">
        <f>Mercado!T22</f>
        <v>Baja</v>
      </c>
      <c r="V56" s="142" t="str">
        <f>IF(Mercado!U22=0.5,"",Mercado!U22)</f>
        <v/>
      </c>
      <c r="W56" s="142" t="str">
        <f>IF(Mercado!V22=0.5,"",Mercado!V22)</f>
        <v/>
      </c>
      <c r="X56" s="142" t="str">
        <f>IF(Mercado!W22=0.5,"",Mercado!W22)</f>
        <v/>
      </c>
      <c r="Y56" s="142" t="str">
        <f>IF(Mercado!X22=0.5,"",Mercado!X22)</f>
        <v/>
      </c>
      <c r="Z56" s="142" t="str">
        <f>IF(Mercado!Y22=0.5,"",Mercado!Y22)</f>
        <v/>
      </c>
      <c r="AA56" s="178" t="str">
        <f ca="1">Mercado!Z22</f>
        <v>A Tiempo</v>
      </c>
      <c r="AB56" s="172" t="str">
        <f>Mercado!AA22</f>
        <v>Mais que cumpre</v>
      </c>
      <c r="AC56" s="175">
        <f>Mercado!AB22</f>
        <v>4.2500000000000003E-3</v>
      </c>
      <c r="AD56" s="175">
        <f>Mercado!AC22</f>
        <v>1</v>
      </c>
      <c r="AE56" s="140">
        <f>Mercado!AD22</f>
        <v>3</v>
      </c>
      <c r="AF56" s="140">
        <f>Mercado!AE22</f>
        <v>3</v>
      </c>
      <c r="AG56" s="140">
        <f>Mercado!AF22</f>
        <v>3</v>
      </c>
      <c r="AH56" s="140" t="str">
        <f>Mercado!AG22</f>
        <v/>
      </c>
      <c r="AI56" s="187" t="str">
        <f>IF('Mercado 13'!E16=0,"",'Mercado 13'!E16)</f>
        <v>NBC</v>
      </c>
      <c r="AJ56" s="187" t="str">
        <f>IF('Mercado 13'!F16=0,"",'Mercado 13'!F16)</f>
        <v/>
      </c>
      <c r="AK56" s="187" t="str">
        <f>IF('Mercado 13'!G16=0,"",'Mercado 13'!G16)</f>
        <v/>
      </c>
      <c r="AL56" s="187" t="str">
        <f>IF('Mercado 13'!H16=0,"",'Mercado 13'!H16)</f>
        <v/>
      </c>
      <c r="AM56" s="187" t="str">
        <f>IF('Mercado 13'!I16=0,"",'Mercado 13'!I16)</f>
        <v/>
      </c>
      <c r="AN56" s="98">
        <f t="shared" si="7"/>
        <v>2.2500000000000003E-3</v>
      </c>
      <c r="AO56" s="98">
        <f t="shared" si="8"/>
        <v>2.2500000000000003E-3</v>
      </c>
      <c r="AQ56" s="184" t="b">
        <f t="shared" si="3"/>
        <v>1</v>
      </c>
      <c r="AR56" s="184" t="b">
        <f t="shared" si="3"/>
        <v>1</v>
      </c>
      <c r="AS56" s="184" t="b">
        <f t="shared" si="3"/>
        <v>1</v>
      </c>
      <c r="AT56" s="184" t="b">
        <f t="shared" si="3"/>
        <v>1</v>
      </c>
      <c r="AU56" s="188" t="str">
        <f t="shared" si="4"/>
        <v>13.</v>
      </c>
      <c r="AV56" s="184" t="str">
        <f t="shared" si="5"/>
        <v>Política de inversão de Stills</v>
      </c>
      <c r="AW56" s="189">
        <f t="shared" si="6"/>
        <v>4.2500000000000003E-3</v>
      </c>
    </row>
    <row r="57" spans="1:49" ht="45.75" customHeight="1" x14ac:dyDescent="0.3">
      <c r="A57" s="1">
        <v>48</v>
      </c>
      <c r="B57" s="168" t="s">
        <v>14</v>
      </c>
      <c r="C57" s="115" t="s">
        <v>102</v>
      </c>
      <c r="D57" s="169" t="s">
        <v>110</v>
      </c>
      <c r="E57" s="170" t="s">
        <v>157</v>
      </c>
      <c r="F57" s="180">
        <v>1.4999999999999999E-2</v>
      </c>
      <c r="G57" s="172" t="str">
        <f>Mercado!F23</f>
        <v>Não cumpre</v>
      </c>
      <c r="H57" s="175">
        <f>Mercado!G23</f>
        <v>0</v>
      </c>
      <c r="I57" s="140">
        <f>Mercado!H23</f>
        <v>1</v>
      </c>
      <c r="J57" s="140" t="str">
        <f>Mercado!I23</f>
        <v/>
      </c>
      <c r="K57" s="140" t="str">
        <f>Mercado!J23</f>
        <v/>
      </c>
      <c r="L57" s="140" t="str">
        <f>Mercado!K23</f>
        <v/>
      </c>
      <c r="M57" s="172" t="str">
        <f>Mercado!L23</f>
        <v>Parcial</v>
      </c>
      <c r="N57" s="175">
        <f>Mercado!M23</f>
        <v>6.0000000000000001E-3</v>
      </c>
      <c r="O57" s="172">
        <f>Mercado!N23</f>
        <v>0</v>
      </c>
      <c r="P57" s="172" t="str">
        <f>Mercado!O23</f>
        <v>D</v>
      </c>
      <c r="Q57" s="172" t="str">
        <f>Mercado!P23</f>
        <v>D</v>
      </c>
      <c r="R57" s="172" t="str">
        <f>Mercado!Q23</f>
        <v>-</v>
      </c>
      <c r="S57" s="172" t="str">
        <f>Mercado!R23</f>
        <v>-</v>
      </c>
      <c r="T57" s="172">
        <f>Mercado!S23</f>
        <v>1</v>
      </c>
      <c r="U57" s="172" t="str">
        <f>Mercado!T23</f>
        <v>Alta</v>
      </c>
      <c r="V57" s="142" t="str">
        <f>IF(Mercado!U23=0.5,"",Mercado!U23)</f>
        <v/>
      </c>
      <c r="W57" s="142" t="str">
        <f>IF(Mercado!V23=0.5,"",Mercado!V23)</f>
        <v/>
      </c>
      <c r="X57" s="142" t="str">
        <f>IF(Mercado!W23=0.5,"",Mercado!W23)</f>
        <v/>
      </c>
      <c r="Y57" s="142" t="str">
        <f>IF(Mercado!X23=0.5,"",Mercado!X23)</f>
        <v/>
      </c>
      <c r="Z57" s="142" t="str">
        <f>IF(Mercado!Y23=0.5,"",Mercado!Y23)</f>
        <v/>
      </c>
      <c r="AA57" s="178" t="str">
        <f ca="1">Mercado!Z23</f>
        <v>Retrasado</v>
      </c>
      <c r="AB57" s="172" t="str">
        <f>Mercado!AA23</f>
        <v>Parcial</v>
      </c>
      <c r="AC57" s="175">
        <f>Mercado!AB23</f>
        <v>6.0000000000000001E-3</v>
      </c>
      <c r="AD57" s="175">
        <f>Mercado!AC23</f>
        <v>1</v>
      </c>
      <c r="AE57" s="140">
        <f>Mercado!AD23</f>
        <v>3</v>
      </c>
      <c r="AF57" s="140">
        <f>Mercado!AE23</f>
        <v>2</v>
      </c>
      <c r="AG57" s="140">
        <f>Mercado!AF23</f>
        <v>2</v>
      </c>
      <c r="AH57" s="140" t="str">
        <f>Mercado!AG23</f>
        <v/>
      </c>
      <c r="AI57" s="187" t="str">
        <f>IF('Mercado 14'!E16=0,"",'Mercado 14'!E16)</f>
        <v>BC</v>
      </c>
      <c r="AJ57" s="187" t="str">
        <f>IF('Mercado 14'!F16=0,"",'Mercado 14'!F16)</f>
        <v/>
      </c>
      <c r="AK57" s="187" t="str">
        <f>IF('Mercado 14'!G16=0,"",'Mercado 14'!G16)</f>
        <v/>
      </c>
      <c r="AL57" s="187" t="str">
        <f>IF('Mercado 14'!H16=0,"",'Mercado 14'!H16)</f>
        <v>X</v>
      </c>
      <c r="AM57" s="187" t="str">
        <f>IF('Mercado 14'!I16=0,"",'Mercado 14'!I16)</f>
        <v/>
      </c>
      <c r="AN57" s="98">
        <f t="shared" si="7"/>
        <v>6.0000000000000001E-3</v>
      </c>
      <c r="AO57" s="98">
        <f t="shared" si="8"/>
        <v>6.0000000000000001E-3</v>
      </c>
      <c r="AQ57" s="184" t="b">
        <f t="shared" si="3"/>
        <v>1</v>
      </c>
      <c r="AR57" s="184" t="b">
        <f t="shared" si="3"/>
        <v>1</v>
      </c>
      <c r="AS57" s="184" t="b">
        <f t="shared" si="3"/>
        <v>1</v>
      </c>
      <c r="AT57" s="184" t="b">
        <f t="shared" si="3"/>
        <v>1</v>
      </c>
      <c r="AU57" s="188" t="str">
        <f t="shared" si="4"/>
        <v>14.</v>
      </c>
      <c r="AV57" s="184" t="str">
        <f t="shared" si="5"/>
        <v>Conectividade para o mercado</v>
      </c>
      <c r="AW57" s="189">
        <f t="shared" si="6"/>
        <v>6.0000000000000001E-3</v>
      </c>
    </row>
    <row r="58" spans="1:49" ht="45.75" customHeight="1" x14ac:dyDescent="0.3">
      <c r="A58" s="1">
        <v>49</v>
      </c>
      <c r="B58" s="168" t="s">
        <v>14</v>
      </c>
      <c r="C58" s="115" t="s">
        <v>105</v>
      </c>
      <c r="D58" s="169" t="s">
        <v>112</v>
      </c>
      <c r="E58" s="170" t="s">
        <v>158</v>
      </c>
      <c r="F58" s="180">
        <v>0.01</v>
      </c>
      <c r="G58" s="172" t="str">
        <f>Mercado!F24</f>
        <v/>
      </c>
      <c r="H58" s="175">
        <f>Mercado!G24</f>
        <v>0</v>
      </c>
      <c r="I58" s="140" t="str">
        <f>Mercado!H24</f>
        <v/>
      </c>
      <c r="J58" s="140" t="str">
        <f>Mercado!I24</f>
        <v/>
      </c>
      <c r="K58" s="140" t="str">
        <f>Mercado!J24</f>
        <v/>
      </c>
      <c r="L58" s="140" t="str">
        <f>Mercado!K24</f>
        <v/>
      </c>
      <c r="M58" s="172" t="str">
        <f>Mercado!L24</f>
        <v>Parcial</v>
      </c>
      <c r="N58" s="175">
        <f>Mercado!M24</f>
        <v>4.0000000000000001E-3</v>
      </c>
      <c r="O58" s="172">
        <f>Mercado!N24</f>
        <v>0</v>
      </c>
      <c r="P58" s="172" t="str">
        <f>Mercado!O24</f>
        <v>-</v>
      </c>
      <c r="Q58" s="172" t="str">
        <f>Mercado!P24</f>
        <v>D</v>
      </c>
      <c r="R58" s="172" t="str">
        <f>Mercado!Q24</f>
        <v>D</v>
      </c>
      <c r="S58" s="172" t="str">
        <f>Mercado!R24</f>
        <v>-</v>
      </c>
      <c r="T58" s="172">
        <f>Mercado!S24</f>
        <v>1</v>
      </c>
      <c r="U58" s="172" t="str">
        <f>Mercado!T24</f>
        <v>Baja</v>
      </c>
      <c r="V58" s="142" t="str">
        <f>IF(Mercado!U24=0.5,"",Mercado!U24)</f>
        <v/>
      </c>
      <c r="W58" s="142" t="str">
        <f>IF(Mercado!V24=0.5,"",Mercado!V24)</f>
        <v/>
      </c>
      <c r="X58" s="142" t="str">
        <f>IF(Mercado!W24=0.5,"",Mercado!W24)</f>
        <v/>
      </c>
      <c r="Y58" s="142" t="str">
        <f>IF(Mercado!X24=0.5,"",Mercado!X24)</f>
        <v/>
      </c>
      <c r="Z58" s="142" t="str">
        <f>IF(Mercado!Y24=0.5,"",Mercado!Y24)</f>
        <v/>
      </c>
      <c r="AA58" s="178" t="str">
        <f ca="1">Mercado!Z24</f>
        <v>A Tiempo</v>
      </c>
      <c r="AB58" s="172" t="str">
        <f>Mercado!AA24</f>
        <v>Parcial</v>
      </c>
      <c r="AC58" s="175">
        <f>Mercado!AB24</f>
        <v>4.0000000000000001E-3</v>
      </c>
      <c r="AD58" s="175">
        <f>Mercado!AC24</f>
        <v>1</v>
      </c>
      <c r="AE58" s="140">
        <f>Mercado!AD24</f>
        <v>3</v>
      </c>
      <c r="AF58" s="140" t="str">
        <f>Mercado!AE24</f>
        <v/>
      </c>
      <c r="AG58" s="140" t="str">
        <f>Mercado!AF24</f>
        <v/>
      </c>
      <c r="AH58" s="140" t="str">
        <f>Mercado!AG24</f>
        <v/>
      </c>
      <c r="AI58" s="187" t="str">
        <f>IF('Mercado 15'!E16=0,"",'Mercado 15'!E16)</f>
        <v>NBC</v>
      </c>
      <c r="AJ58" s="187" t="str">
        <f>IF('Mercado 15'!F16=0,"",'Mercado 15'!F16)</f>
        <v/>
      </c>
      <c r="AK58" s="187" t="str">
        <f>IF('Mercado 15'!G16=0,"",'Mercado 15'!G16)</f>
        <v/>
      </c>
      <c r="AL58" s="187" t="str">
        <f>IF('Mercado 15'!H16=0,"",'Mercado 15'!H16)</f>
        <v/>
      </c>
      <c r="AM58" s="187" t="str">
        <f>IF('Mercado 15'!I16=0,"",'Mercado 15'!I16)</f>
        <v/>
      </c>
      <c r="AN58" s="98">
        <f t="shared" si="7"/>
        <v>4.0000000000000001E-3</v>
      </c>
      <c r="AO58" s="98">
        <f t="shared" si="8"/>
        <v>4.0000000000000001E-3</v>
      </c>
      <c r="AQ58" s="184" t="b">
        <f t="shared" si="3"/>
        <v>1</v>
      </c>
      <c r="AR58" s="184" t="b">
        <f t="shared" si="3"/>
        <v>1</v>
      </c>
      <c r="AS58" s="184" t="b">
        <f t="shared" si="3"/>
        <v>1</v>
      </c>
      <c r="AT58" s="184" t="b">
        <f t="shared" si="3"/>
        <v>1</v>
      </c>
      <c r="AU58" s="188" t="str">
        <f t="shared" si="4"/>
        <v>15.</v>
      </c>
      <c r="AV58" s="184" t="str">
        <f t="shared" si="5"/>
        <v>Sustentabilidade no mercado</v>
      </c>
      <c r="AW58" s="189">
        <f t="shared" si="6"/>
        <v>4.0000000000000001E-3</v>
      </c>
    </row>
    <row r="59" spans="1:49" ht="45.75" customHeight="1" x14ac:dyDescent="0.3">
      <c r="A59" s="1">
        <v>50</v>
      </c>
      <c r="B59" s="168" t="s">
        <v>159</v>
      </c>
      <c r="C59" s="115" t="s">
        <v>124</v>
      </c>
      <c r="D59" s="169" t="s">
        <v>79</v>
      </c>
      <c r="E59" s="170" t="s">
        <v>160</v>
      </c>
      <c r="F59" s="180">
        <v>0.02</v>
      </c>
      <c r="G59" s="172" t="str">
        <f>Mantenimiento!F10</f>
        <v>Cumpre</v>
      </c>
      <c r="H59" s="175">
        <f>Mantenimiento!G10</f>
        <v>1.3999999999999999E-2</v>
      </c>
      <c r="I59" s="140">
        <f>Mantenimiento!H10</f>
        <v>3</v>
      </c>
      <c r="J59" s="140">
        <f>Mantenimiento!I10</f>
        <v>3</v>
      </c>
      <c r="K59" s="140" t="str">
        <f>Mantenimiento!J10</f>
        <v/>
      </c>
      <c r="L59" s="140" t="str">
        <f>Mantenimiento!K10</f>
        <v/>
      </c>
      <c r="M59" s="172" t="str">
        <f>Mantenimiento!L10</f>
        <v>Cumpre</v>
      </c>
      <c r="N59" s="175">
        <f>Mantenimiento!M10</f>
        <v>1.3999999999999999E-2</v>
      </c>
      <c r="O59" s="172">
        <f>Mantenimiento!N10</f>
        <v>1</v>
      </c>
      <c r="P59" s="172" t="str">
        <f>Mantenimiento!O10</f>
        <v>-</v>
      </c>
      <c r="Q59" s="172" t="str">
        <f>Mantenimiento!P10</f>
        <v>-</v>
      </c>
      <c r="R59" s="172" t="str">
        <f>Mantenimiento!Q10</f>
        <v>-</v>
      </c>
      <c r="S59" s="172" t="str">
        <f>Mantenimiento!R10</f>
        <v>-</v>
      </c>
      <c r="T59" s="172">
        <f>Mantenimiento!S10</f>
        <v>1</v>
      </c>
      <c r="U59" s="172" t="str">
        <f>Mantenimiento!T10</f>
        <v>No Planificado</v>
      </c>
      <c r="V59" s="142" t="str">
        <f>IF(Mantenimiento!U10=0.5,"",Mantenimiento!U10)</f>
        <v/>
      </c>
      <c r="W59" s="142" t="str">
        <f>IF(Mantenimiento!V10=0.5,"",Mantenimiento!V10)</f>
        <v/>
      </c>
      <c r="X59" s="142" t="str">
        <f>IF(Mantenimiento!W10=0.5,"",Mantenimiento!W10)</f>
        <v/>
      </c>
      <c r="Y59" s="142" t="str">
        <f>IF(Mantenimiento!X10=0.5,"",Mantenimiento!X10)</f>
        <v/>
      </c>
      <c r="Z59" s="142" t="str">
        <f>IF(Mantenimiento!Y10=0.5,"",Mantenimiento!Y10)</f>
        <v/>
      </c>
      <c r="AA59" s="178" t="str">
        <f ca="1">Mantenimiento!Z10</f>
        <v>Finalizado</v>
      </c>
      <c r="AB59" s="172" t="str">
        <f>Mantenimiento!AA10</f>
        <v>Mais que cumpre</v>
      </c>
      <c r="AC59" s="175">
        <f>Mantenimiento!AB10</f>
        <v>1.7000000000000001E-2</v>
      </c>
      <c r="AD59" s="175">
        <f>Mantenimiento!AC10</f>
        <v>1.2142857142857144</v>
      </c>
      <c r="AE59" s="140">
        <f>Mantenimiento!AD10</f>
        <v>3</v>
      </c>
      <c r="AF59" s="140">
        <f>Mantenimiento!AE10</f>
        <v>3</v>
      </c>
      <c r="AG59" s="140">
        <f>Mantenimiento!AF10</f>
        <v>3</v>
      </c>
      <c r="AH59" s="140" t="str">
        <f>Mantenimiento!AG10</f>
        <v/>
      </c>
      <c r="AI59" s="187" t="str">
        <f>IF('Mantenimiento 1'!E16=0,"",'Mantenimiento 1'!E16)</f>
        <v>BC</v>
      </c>
      <c r="AJ59" s="187" t="str">
        <f>IF('Mantenimiento 1'!F16=0,"",'Mantenimiento 1'!F16)</f>
        <v>X</v>
      </c>
      <c r="AK59" s="187" t="str">
        <f>IF('Mantenimiento 1'!G16=0,"",'Mantenimiento 1'!G16)</f>
        <v/>
      </c>
      <c r="AL59" s="187" t="str">
        <f>IF('Mantenimiento 1'!H16=0,"",'Mantenimiento 1'!H16)</f>
        <v/>
      </c>
      <c r="AM59" s="187" t="str">
        <f>IF('Mantenimiento 1'!I16=0,"",'Mantenimiento 1'!I16)</f>
        <v/>
      </c>
      <c r="AN59" s="98">
        <f t="shared" si="7"/>
        <v>3.0000000000000027E-3</v>
      </c>
      <c r="AO59" s="98">
        <f t="shared" si="8"/>
        <v>0</v>
      </c>
      <c r="AQ59" s="184" t="b">
        <f t="shared" si="3"/>
        <v>1</v>
      </c>
      <c r="AR59" s="184" t="b">
        <f t="shared" si="3"/>
        <v>1</v>
      </c>
      <c r="AS59" s="184" t="b">
        <f t="shared" si="3"/>
        <v>1</v>
      </c>
      <c r="AT59" s="184" t="b">
        <f t="shared" si="3"/>
        <v>1</v>
      </c>
      <c r="AU59" s="188" t="str">
        <f t="shared" si="4"/>
        <v>1.</v>
      </c>
      <c r="AV59" s="184" t="str">
        <f t="shared" si="5"/>
        <v>Processamento do pedido de manutenção</v>
      </c>
      <c r="AW59" s="189">
        <f t="shared" si="6"/>
        <v>1.7000000000000001E-2</v>
      </c>
    </row>
    <row r="60" spans="1:49" ht="45.75" customHeight="1" x14ac:dyDescent="0.3">
      <c r="A60" s="1">
        <v>51</v>
      </c>
      <c r="B60" s="168" t="s">
        <v>159</v>
      </c>
      <c r="C60" s="115" t="s">
        <v>124</v>
      </c>
      <c r="D60" s="169" t="s">
        <v>81</v>
      </c>
      <c r="E60" s="170" t="s">
        <v>161</v>
      </c>
      <c r="F60" s="180">
        <v>2.5000000000000001E-2</v>
      </c>
      <c r="G60" s="172" t="str">
        <f>Mantenimiento!F11</f>
        <v/>
      </c>
      <c r="H60" s="175">
        <f>Mantenimiento!G11</f>
        <v>0</v>
      </c>
      <c r="I60" s="140" t="str">
        <f>Mantenimiento!H11</f>
        <v/>
      </c>
      <c r="J60" s="140" t="str">
        <f>Mantenimiento!I11</f>
        <v/>
      </c>
      <c r="K60" s="140" t="str">
        <f>Mantenimiento!J11</f>
        <v/>
      </c>
      <c r="L60" s="140" t="str">
        <f>Mantenimiento!K11</f>
        <v/>
      </c>
      <c r="M60" s="172" t="str">
        <f>Mantenimiento!L11</f>
        <v>Cumpre</v>
      </c>
      <c r="N60" s="175">
        <f>Mantenimiento!M11</f>
        <v>1.7499999999999998E-2</v>
      </c>
      <c r="O60" s="172">
        <f>Mantenimiento!N11</f>
        <v>0</v>
      </c>
      <c r="P60" s="172" t="str">
        <f>Mantenimiento!O11</f>
        <v>-</v>
      </c>
      <c r="Q60" s="172" t="str">
        <f>Mantenimiento!P11</f>
        <v>D</v>
      </c>
      <c r="R60" s="172" t="str">
        <f>Mantenimiento!Q11</f>
        <v>D</v>
      </c>
      <c r="S60" s="172" t="str">
        <f>Mantenimiento!R11</f>
        <v>D</v>
      </c>
      <c r="T60" s="172">
        <f>Mantenimiento!S11</f>
        <v>1</v>
      </c>
      <c r="U60" s="172" t="str">
        <f>Mantenimiento!T11</f>
        <v>Alta</v>
      </c>
      <c r="V60" s="142" t="str">
        <f>IF(Mantenimiento!U11=0.5,"",Mantenimiento!U11)</f>
        <v/>
      </c>
      <c r="W60" s="142" t="str">
        <f>IF(Mantenimiento!V11=0.5,"",Mantenimiento!V11)</f>
        <v/>
      </c>
      <c r="X60" s="142" t="str">
        <f>IF(Mantenimiento!W11=0.5,"",Mantenimiento!W11)</f>
        <v/>
      </c>
      <c r="Y60" s="142" t="str">
        <f>IF(Mantenimiento!X11=0.5,"",Mantenimiento!X11)</f>
        <v/>
      </c>
      <c r="Z60" s="142" t="str">
        <f>IF(Mantenimiento!Y11=0.5,"",Mantenimiento!Y11)</f>
        <v/>
      </c>
      <c r="AA60" s="178" t="str">
        <f ca="1">Mantenimiento!Z11</f>
        <v>A Tiempo</v>
      </c>
      <c r="AB60" s="172" t="str">
        <f>Mantenimiento!AA11</f>
        <v>Não cumpre</v>
      </c>
      <c r="AC60" s="175">
        <f>Mantenimiento!AB11</f>
        <v>0</v>
      </c>
      <c r="AD60" s="175">
        <f>Mantenimiento!AC11</f>
        <v>0</v>
      </c>
      <c r="AE60" s="140">
        <f>Mantenimiento!AD11</f>
        <v>1</v>
      </c>
      <c r="AF60" s="140">
        <f>Mantenimiento!AE11</f>
        <v>1</v>
      </c>
      <c r="AG60" s="140" t="str">
        <f>Mantenimiento!AF11</f>
        <v/>
      </c>
      <c r="AH60" s="140" t="str">
        <f>Mantenimiento!AG11</f>
        <v/>
      </c>
      <c r="AI60" s="187" t="str">
        <f>IF('Mantenimiento 2'!E16=0,"",'Mantenimiento 2'!E16)</f>
        <v>NBC</v>
      </c>
      <c r="AJ60" s="187" t="str">
        <f>IF('Mantenimiento 2'!F16=0,"",'Mantenimiento 2'!F16)</f>
        <v/>
      </c>
      <c r="AK60" s="187" t="str">
        <f>IF('Mantenimiento 2'!G16=0,"",'Mantenimiento 2'!G16)</f>
        <v/>
      </c>
      <c r="AL60" s="187" t="str">
        <f>IF('Mantenimiento 2'!H16=0,"",'Mantenimiento 2'!H16)</f>
        <v/>
      </c>
      <c r="AM60" s="187" t="str">
        <f>IF('Mantenimiento 2'!I16=0,"",'Mantenimiento 2'!I16)</f>
        <v/>
      </c>
      <c r="AN60" s="98">
        <f t="shared" si="7"/>
        <v>0</v>
      </c>
      <c r="AO60" s="98">
        <f t="shared" si="8"/>
        <v>1.7499999999999998E-2</v>
      </c>
      <c r="AQ60" s="184" t="b">
        <f t="shared" si="3"/>
        <v>1</v>
      </c>
      <c r="AR60" s="184" t="b">
        <f t="shared" si="3"/>
        <v>1</v>
      </c>
      <c r="AS60" s="184" t="b">
        <f t="shared" si="3"/>
        <v>1</v>
      </c>
      <c r="AT60" s="184" t="b">
        <f t="shared" si="3"/>
        <v>1</v>
      </c>
      <c r="AU60" s="188" t="str">
        <f t="shared" si="4"/>
        <v>2.</v>
      </c>
      <c r="AV60" s="184" t="str">
        <f t="shared" si="5"/>
        <v>Solução remota</v>
      </c>
      <c r="AW60" s="189">
        <f t="shared" si="6"/>
        <v>0</v>
      </c>
    </row>
    <row r="61" spans="1:49" ht="45.75" customHeight="1" x14ac:dyDescent="0.3">
      <c r="A61" s="1">
        <v>52</v>
      </c>
      <c r="B61" s="168" t="s">
        <v>159</v>
      </c>
      <c r="C61" s="115" t="s">
        <v>124</v>
      </c>
      <c r="D61" s="169" t="s">
        <v>83</v>
      </c>
      <c r="E61" s="170" t="s">
        <v>162</v>
      </c>
      <c r="F61" s="180">
        <v>0.02</v>
      </c>
      <c r="G61" s="172" t="str">
        <f>Mantenimiento!F12</f>
        <v>Mais que cumpre</v>
      </c>
      <c r="H61" s="175">
        <f>Mantenimiento!G12</f>
        <v>1.7000000000000001E-2</v>
      </c>
      <c r="I61" s="140">
        <f>Mantenimiento!H12</f>
        <v>3</v>
      </c>
      <c r="J61" s="140">
        <f>Mantenimiento!I12</f>
        <v>3</v>
      </c>
      <c r="K61" s="140">
        <f>Mantenimiento!J12</f>
        <v>3</v>
      </c>
      <c r="L61" s="140">
        <f>Mantenimiento!K12</f>
        <v>1</v>
      </c>
      <c r="M61" s="172" t="str">
        <f>Mantenimiento!L12</f>
        <v>Mais que Cumpre</v>
      </c>
      <c r="N61" s="175">
        <f>Mantenimiento!M12</f>
        <v>1.7000000000000001E-2</v>
      </c>
      <c r="O61" s="172">
        <f>Mantenimiento!N12</f>
        <v>1</v>
      </c>
      <c r="P61" s="172" t="str">
        <f>Mantenimiento!O12</f>
        <v>-</v>
      </c>
      <c r="Q61" s="172" t="str">
        <f>Mantenimiento!P12</f>
        <v>-</v>
      </c>
      <c r="R61" s="172" t="str">
        <f>Mantenimiento!Q12</f>
        <v>-</v>
      </c>
      <c r="S61" s="172" t="str">
        <f>Mantenimiento!R12</f>
        <v>-</v>
      </c>
      <c r="T61" s="172">
        <f>Mantenimiento!S12</f>
        <v>1</v>
      </c>
      <c r="U61" s="172" t="str">
        <f>Mantenimiento!T12</f>
        <v>No Planificado</v>
      </c>
      <c r="V61" s="142" t="str">
        <f>IF(Mantenimiento!U12=0.5,"",Mantenimiento!U12)</f>
        <v/>
      </c>
      <c r="W61" s="142" t="str">
        <f>IF(Mantenimiento!V12=0.5,"",Mantenimiento!V12)</f>
        <v/>
      </c>
      <c r="X61" s="142" t="str">
        <f>IF(Mantenimiento!W12=0.5,"",Mantenimiento!W12)</f>
        <v/>
      </c>
      <c r="Y61" s="142" t="str">
        <f>IF(Mantenimiento!X12=0.5,"",Mantenimiento!X12)</f>
        <v/>
      </c>
      <c r="Z61" s="142" t="str">
        <f>IF(Mantenimiento!Y12=0.5,"",Mantenimiento!Y12)</f>
        <v/>
      </c>
      <c r="AA61" s="178" t="str">
        <f ca="1">Mantenimiento!Z12</f>
        <v>A Tiempo</v>
      </c>
      <c r="AB61" s="172" t="str">
        <f>Mantenimiento!AA12</f>
        <v/>
      </c>
      <c r="AC61" s="175">
        <f>Mantenimiento!AB12</f>
        <v>0</v>
      </c>
      <c r="AD61" s="175">
        <f>Mantenimiento!AC12</f>
        <v>0</v>
      </c>
      <c r="AE61" s="140" t="str">
        <f>Mantenimiento!AD12</f>
        <v/>
      </c>
      <c r="AF61" s="140" t="str">
        <f>Mantenimiento!AE12</f>
        <v/>
      </c>
      <c r="AG61" s="140" t="str">
        <f>Mantenimiento!AF12</f>
        <v/>
      </c>
      <c r="AH61" s="140" t="str">
        <f>Mantenimiento!AG12</f>
        <v/>
      </c>
      <c r="AI61" s="187" t="str">
        <f>IF('Mantenimiento 3'!E16=0,"",'Mantenimiento 3'!E16)</f>
        <v>BC</v>
      </c>
      <c r="AJ61" s="187" t="str">
        <f>IF('Mantenimiento 3'!F16=0,"",'Mantenimiento 3'!F16)</f>
        <v/>
      </c>
      <c r="AK61" s="187" t="str">
        <f>IF('Mantenimiento 3'!G16=0,"",'Mantenimiento 3'!G16)</f>
        <v>X</v>
      </c>
      <c r="AL61" s="187" t="str">
        <f>IF('Mantenimiento 3'!H16=0,"",'Mantenimiento 3'!H16)</f>
        <v/>
      </c>
      <c r="AM61" s="187" t="str">
        <f>IF('Mantenimiento 3'!I16=0,"",'Mantenimiento 3'!I16)</f>
        <v/>
      </c>
      <c r="AN61" s="98">
        <f t="shared" si="7"/>
        <v>0</v>
      </c>
      <c r="AO61" s="98">
        <f t="shared" si="8"/>
        <v>0</v>
      </c>
      <c r="AQ61" s="184" t="b">
        <f t="shared" si="3"/>
        <v>1</v>
      </c>
      <c r="AR61" s="184" t="b">
        <f t="shared" si="3"/>
        <v>1</v>
      </c>
      <c r="AS61" s="184" t="b">
        <f t="shared" si="3"/>
        <v>1</v>
      </c>
      <c r="AT61" s="184" t="b">
        <f t="shared" si="3"/>
        <v>1</v>
      </c>
      <c r="AU61" s="188" t="str">
        <f t="shared" si="4"/>
        <v>3.</v>
      </c>
      <c r="AV61" s="184" t="str">
        <f t="shared" si="5"/>
        <v>Qualidade dos serviços no PDV</v>
      </c>
      <c r="AW61" s="189">
        <f t="shared" si="6"/>
        <v>1.7000000000000001E-2</v>
      </c>
    </row>
    <row r="62" spans="1:49" ht="45.75" customHeight="1" x14ac:dyDescent="0.3">
      <c r="A62" s="1">
        <v>53</v>
      </c>
      <c r="B62" s="168" t="s">
        <v>159</v>
      </c>
      <c r="C62" s="115" t="s">
        <v>124</v>
      </c>
      <c r="D62" s="169" t="s">
        <v>85</v>
      </c>
      <c r="E62" s="170" t="s">
        <v>163</v>
      </c>
      <c r="F62" s="180">
        <v>0.02</v>
      </c>
      <c r="G62" s="172" t="str">
        <f>Mantenimiento!F13</f>
        <v>Parcial</v>
      </c>
      <c r="H62" s="175">
        <f>Mantenimiento!G13</f>
        <v>8.0000000000000002E-3</v>
      </c>
      <c r="I62" s="140">
        <f>Mantenimiento!H13</f>
        <v>3</v>
      </c>
      <c r="J62" s="140">
        <f>Mantenimiento!I13</f>
        <v>2</v>
      </c>
      <c r="K62" s="140" t="str">
        <f>Mantenimiento!J13</f>
        <v/>
      </c>
      <c r="L62" s="140" t="str">
        <f>Mantenimiento!K13</f>
        <v/>
      </c>
      <c r="M62" s="172" t="str">
        <f>Mantenimiento!L13</f>
        <v>Mais que Cumpre</v>
      </c>
      <c r="N62" s="175">
        <f>Mantenimiento!M13</f>
        <v>1.7000000000000001E-2</v>
      </c>
      <c r="O62" s="172">
        <f>Mantenimiento!N13</f>
        <v>0.47058823529411764</v>
      </c>
      <c r="P62" s="172" t="str">
        <f>Mantenimiento!O13</f>
        <v>-</v>
      </c>
      <c r="Q62" s="172" t="str">
        <f>Mantenimiento!P13</f>
        <v>-</v>
      </c>
      <c r="R62" s="172" t="str">
        <f>Mantenimiento!Q13</f>
        <v>-</v>
      </c>
      <c r="S62" s="172" t="str">
        <f>Mantenimiento!R13</f>
        <v>-</v>
      </c>
      <c r="T62" s="172">
        <f>Mantenimiento!S13</f>
        <v>3</v>
      </c>
      <c r="U62" s="172" t="str">
        <f>Mantenimiento!T13</f>
        <v>Baja</v>
      </c>
      <c r="V62" s="142" t="str">
        <f>IF(Mantenimiento!U13=0.5,"",Mantenimiento!U13)</f>
        <v/>
      </c>
      <c r="W62" s="142" t="str">
        <f>IF(Mantenimiento!V13=0.5,"",Mantenimiento!V13)</f>
        <v/>
      </c>
      <c r="X62" s="142" t="str">
        <f>IF(Mantenimiento!W13=0.5,"",Mantenimiento!W13)</f>
        <v/>
      </c>
      <c r="Y62" s="142" t="str">
        <f>IF(Mantenimiento!X13=0.5,"",Mantenimiento!X13)</f>
        <v/>
      </c>
      <c r="Z62" s="142" t="str">
        <f>IF(Mantenimiento!Y13=0.5,"",Mantenimiento!Y13)</f>
        <v/>
      </c>
      <c r="AA62" s="178" t="str">
        <f ca="1">Mantenimiento!Z13</f>
        <v>Finalizado</v>
      </c>
      <c r="AB62" s="172" t="str">
        <f>Mantenimiento!AA13</f>
        <v>Mais que cumpre</v>
      </c>
      <c r="AC62" s="175">
        <f>Mantenimiento!AB13</f>
        <v>1.7000000000000001E-2</v>
      </c>
      <c r="AD62" s="175">
        <f>Mantenimiento!AC13</f>
        <v>1</v>
      </c>
      <c r="AE62" s="140">
        <f>Mantenimiento!AD13</f>
        <v>3</v>
      </c>
      <c r="AF62" s="140">
        <f>Mantenimiento!AE13</f>
        <v>3</v>
      </c>
      <c r="AG62" s="140">
        <f>Mantenimiento!AF13</f>
        <v>3</v>
      </c>
      <c r="AH62" s="140" t="str">
        <f>Mantenimiento!AG13</f>
        <v/>
      </c>
      <c r="AI62" s="187" t="str">
        <f>IF('Mantenimiento 4'!E16=0,"",'Mantenimiento 4'!E16)</f>
        <v>BC</v>
      </c>
      <c r="AJ62" s="187" t="str">
        <f>IF('Mantenimiento 4'!F16=0,"",'Mantenimiento 4'!F16)</f>
        <v/>
      </c>
      <c r="AK62" s="187" t="str">
        <f>IF('Mantenimiento 4'!G16=0,"",'Mantenimiento 4'!G16)</f>
        <v/>
      </c>
      <c r="AL62" s="187" t="str">
        <f>IF('Mantenimiento 4'!H16=0,"",'Mantenimiento 4'!H16)</f>
        <v>X</v>
      </c>
      <c r="AM62" s="187" t="str">
        <f>IF('Mantenimiento 4'!I16=0,"",'Mantenimiento 4'!I16)</f>
        <v/>
      </c>
      <c r="AN62" s="98">
        <f t="shared" si="7"/>
        <v>9.0000000000000011E-3</v>
      </c>
      <c r="AO62" s="98">
        <f t="shared" si="8"/>
        <v>9.0000000000000011E-3</v>
      </c>
      <c r="AQ62" s="184" t="b">
        <f t="shared" si="3"/>
        <v>1</v>
      </c>
      <c r="AR62" s="184" t="b">
        <f t="shared" si="3"/>
        <v>1</v>
      </c>
      <c r="AS62" s="184" t="b">
        <f t="shared" si="3"/>
        <v>1</v>
      </c>
      <c r="AT62" s="184" t="b">
        <f t="shared" si="3"/>
        <v>1</v>
      </c>
      <c r="AU62" s="188" t="str">
        <f t="shared" si="4"/>
        <v>4.</v>
      </c>
      <c r="AV62" s="184" t="str">
        <f t="shared" si="5"/>
        <v>Qualidade dos serviços na oficina</v>
      </c>
      <c r="AW62" s="189">
        <f t="shared" si="6"/>
        <v>1.7000000000000001E-2</v>
      </c>
    </row>
    <row r="63" spans="1:49" ht="45.75" customHeight="1" x14ac:dyDescent="0.3">
      <c r="A63" s="1">
        <v>54</v>
      </c>
      <c r="B63" s="168" t="s">
        <v>159</v>
      </c>
      <c r="C63" s="115" t="s">
        <v>164</v>
      </c>
      <c r="D63" s="169" t="s">
        <v>88</v>
      </c>
      <c r="E63" s="170" t="s">
        <v>165</v>
      </c>
      <c r="F63" s="180">
        <v>0.02</v>
      </c>
      <c r="G63" s="172" t="str">
        <f>Mantenimiento!F14</f>
        <v>Parcial</v>
      </c>
      <c r="H63" s="175">
        <f>Mantenimiento!G14</f>
        <v>8.0000000000000002E-3</v>
      </c>
      <c r="I63" s="140">
        <f>Mantenimiento!H14</f>
        <v>3</v>
      </c>
      <c r="J63" s="140" t="str">
        <f>Mantenimiento!I14</f>
        <v/>
      </c>
      <c r="K63" s="140" t="str">
        <f>Mantenimiento!J14</f>
        <v/>
      </c>
      <c r="L63" s="140" t="str">
        <f>Mantenimiento!K14</f>
        <v/>
      </c>
      <c r="M63" s="172" t="str">
        <f>Mantenimiento!L14</f>
        <v>Parcial</v>
      </c>
      <c r="N63" s="175">
        <f>Mantenimiento!M14</f>
        <v>8.0000000000000002E-3</v>
      </c>
      <c r="O63" s="172">
        <f>Mantenimiento!N14</f>
        <v>1</v>
      </c>
      <c r="P63" s="172" t="str">
        <f>Mantenimiento!O14</f>
        <v>-</v>
      </c>
      <c r="Q63" s="172" t="str">
        <f>Mantenimiento!P14</f>
        <v>D</v>
      </c>
      <c r="R63" s="172" t="str">
        <f>Mantenimiento!Q14</f>
        <v>D</v>
      </c>
      <c r="S63" s="172" t="str">
        <f>Mantenimiento!R14</f>
        <v>-</v>
      </c>
      <c r="T63" s="172">
        <f>Mantenimiento!S14</f>
        <v>1</v>
      </c>
      <c r="U63" s="172" t="str">
        <f>Mantenimiento!T14</f>
        <v>No Planificado</v>
      </c>
      <c r="V63" s="142" t="str">
        <f>IF(Mantenimiento!U14=0.5,"",Mantenimiento!U14)</f>
        <v/>
      </c>
      <c r="W63" s="142" t="str">
        <f>IF(Mantenimiento!V14=0.5,"",Mantenimiento!V14)</f>
        <v/>
      </c>
      <c r="X63" s="142" t="str">
        <f>IF(Mantenimiento!W14=0.5,"",Mantenimiento!W14)</f>
        <v/>
      </c>
      <c r="Y63" s="142" t="str">
        <f>IF(Mantenimiento!X14=0.5,"",Mantenimiento!X14)</f>
        <v/>
      </c>
      <c r="Z63" s="142" t="str">
        <f>IF(Mantenimiento!Y14=0.5,"",Mantenimiento!Y14)</f>
        <v/>
      </c>
      <c r="AA63" s="178" t="str">
        <f ca="1">Mantenimiento!Z14</f>
        <v>A Tiempo</v>
      </c>
      <c r="AB63" s="172" t="str">
        <f>Mantenimiento!AA14</f>
        <v/>
      </c>
      <c r="AC63" s="175">
        <f>Mantenimiento!AB14</f>
        <v>0</v>
      </c>
      <c r="AD63" s="175">
        <f>Mantenimiento!AC14</f>
        <v>0</v>
      </c>
      <c r="AE63" s="140" t="str">
        <f>Mantenimiento!AD14</f>
        <v/>
      </c>
      <c r="AF63" s="140" t="str">
        <f>Mantenimiento!AE14</f>
        <v/>
      </c>
      <c r="AG63" s="140" t="str">
        <f>Mantenimiento!AF14</f>
        <v/>
      </c>
      <c r="AH63" s="140" t="str">
        <f>Mantenimiento!AG14</f>
        <v/>
      </c>
      <c r="AI63" s="187" t="str">
        <f>IF('Mantenimiento 5'!E16=0,"",'Mantenimiento 5'!E16)</f>
        <v>NBC</v>
      </c>
      <c r="AJ63" s="187" t="str">
        <f>IF('Mantenimiento 5'!F16=0,"",'Mantenimiento 5'!F16)</f>
        <v/>
      </c>
      <c r="AK63" s="187" t="str">
        <f>IF('Mantenimiento 5'!G16=0,"",'Mantenimiento 5'!G16)</f>
        <v/>
      </c>
      <c r="AL63" s="187" t="str">
        <f>IF('Mantenimiento 5'!H16=0,"",'Mantenimiento 5'!H16)</f>
        <v/>
      </c>
      <c r="AM63" s="187" t="str">
        <f>IF('Mantenimiento 5'!I16=0,"",'Mantenimiento 5'!I16)</f>
        <v/>
      </c>
      <c r="AN63" s="98">
        <f t="shared" si="7"/>
        <v>0</v>
      </c>
      <c r="AO63" s="98">
        <f t="shared" si="8"/>
        <v>0</v>
      </c>
      <c r="AQ63" s="184" t="b">
        <f t="shared" si="3"/>
        <v>1</v>
      </c>
      <c r="AR63" s="184" t="b">
        <f t="shared" si="3"/>
        <v>1</v>
      </c>
      <c r="AS63" s="184" t="b">
        <f t="shared" si="3"/>
        <v>1</v>
      </c>
      <c r="AT63" s="184" t="b">
        <f t="shared" si="3"/>
        <v>1</v>
      </c>
      <c r="AU63" s="188" t="str">
        <f t="shared" si="4"/>
        <v>5.</v>
      </c>
      <c r="AV63" s="184" t="str">
        <f t="shared" si="5"/>
        <v>Tracking do SLA de manutenção</v>
      </c>
      <c r="AW63" s="189">
        <f t="shared" si="6"/>
        <v>8.0000000000000002E-3</v>
      </c>
    </row>
    <row r="64" spans="1:49" ht="45.75" customHeight="1" x14ac:dyDescent="0.3">
      <c r="A64" s="1">
        <v>55</v>
      </c>
      <c r="B64" s="168" t="s">
        <v>159</v>
      </c>
      <c r="C64" s="115" t="s">
        <v>164</v>
      </c>
      <c r="D64" s="169" t="s">
        <v>90</v>
      </c>
      <c r="E64" s="170" t="s">
        <v>166</v>
      </c>
      <c r="F64" s="180">
        <v>0.02</v>
      </c>
      <c r="G64" s="172" t="str">
        <f>Mantenimiento!F15</f>
        <v>Mais que cumpre</v>
      </c>
      <c r="H64" s="175">
        <f>Mantenimiento!G15</f>
        <v>1.7000000000000001E-2</v>
      </c>
      <c r="I64" s="140">
        <f>Mantenimiento!H15</f>
        <v>3</v>
      </c>
      <c r="J64" s="140">
        <f>Mantenimiento!I15</f>
        <v>3</v>
      </c>
      <c r="K64" s="140">
        <f>Mantenimiento!J15</f>
        <v>3</v>
      </c>
      <c r="L64" s="140">
        <f>Mantenimiento!K15</f>
        <v>1</v>
      </c>
      <c r="M64" s="172" t="str">
        <f>Mantenimiento!L15</f>
        <v>Melhor Prática</v>
      </c>
      <c r="N64" s="175">
        <f>Mantenimiento!M15</f>
        <v>0.02</v>
      </c>
      <c r="O64" s="172">
        <f>Mantenimiento!N15</f>
        <v>0.85000000000000009</v>
      </c>
      <c r="P64" s="172" t="str">
        <f>Mantenimiento!O15</f>
        <v>-</v>
      </c>
      <c r="Q64" s="172" t="str">
        <f>Mantenimiento!P15</f>
        <v>D</v>
      </c>
      <c r="R64" s="172" t="str">
        <f>Mantenimiento!Q15</f>
        <v>D</v>
      </c>
      <c r="S64" s="172" t="str">
        <f>Mantenimiento!R15</f>
        <v>D</v>
      </c>
      <c r="T64" s="172">
        <f>Mantenimiento!S15</f>
        <v>3</v>
      </c>
      <c r="U64" s="172" t="str">
        <f>Mantenimiento!T15</f>
        <v>Baja</v>
      </c>
      <c r="V64" s="142" t="str">
        <f>IF(Mantenimiento!U15=0.5,"",Mantenimiento!U15)</f>
        <v/>
      </c>
      <c r="W64" s="142" t="str">
        <f>IF(Mantenimiento!V15=0.5,"",Mantenimiento!V15)</f>
        <v/>
      </c>
      <c r="X64" s="142" t="str">
        <f>IF(Mantenimiento!W15=0.5,"",Mantenimiento!W15)</f>
        <v/>
      </c>
      <c r="Y64" s="142" t="str">
        <f>IF(Mantenimiento!X15=0.5,"",Mantenimiento!X15)</f>
        <v/>
      </c>
      <c r="Z64" s="142" t="str">
        <f>IF(Mantenimiento!Y15=0.5,"",Mantenimiento!Y15)</f>
        <v/>
      </c>
      <c r="AA64" s="178" t="str">
        <f ca="1">Mantenimiento!Z15</f>
        <v>Retrasado</v>
      </c>
      <c r="AB64" s="172" t="str">
        <f>Mantenimiento!AA15</f>
        <v>Melhor Prática</v>
      </c>
      <c r="AC64" s="175">
        <f>Mantenimiento!AB15</f>
        <v>0.02</v>
      </c>
      <c r="AD64" s="175">
        <f>Mantenimiento!AC15</f>
        <v>1</v>
      </c>
      <c r="AE64" s="140">
        <f>Mantenimiento!AD15</f>
        <v>3</v>
      </c>
      <c r="AF64" s="140">
        <f>Mantenimiento!AE15</f>
        <v>3</v>
      </c>
      <c r="AG64" s="140">
        <f>Mantenimiento!AF15</f>
        <v>3</v>
      </c>
      <c r="AH64" s="140">
        <f>Mantenimiento!AG15</f>
        <v>3</v>
      </c>
      <c r="AI64" s="187" t="str">
        <f>IF('Mantenimiento 6'!E16=0,"",'Mantenimiento 6'!E16)</f>
        <v>BC</v>
      </c>
      <c r="AJ64" s="187" t="str">
        <f>IF('Mantenimiento 6'!F16=0,"",'Mantenimiento 6'!F16)</f>
        <v/>
      </c>
      <c r="AK64" s="187" t="str">
        <f>IF('Mantenimiento 6'!G16=0,"",'Mantenimiento 6'!G16)</f>
        <v/>
      </c>
      <c r="AL64" s="187" t="str">
        <f>IF('Mantenimiento 6'!H16=0,"",'Mantenimiento 6'!H16)</f>
        <v>X</v>
      </c>
      <c r="AM64" s="187" t="str">
        <f>IF('Mantenimiento 6'!I16=0,"",'Mantenimiento 6'!I16)</f>
        <v/>
      </c>
      <c r="AN64" s="98">
        <f t="shared" si="7"/>
        <v>2.9999999999999992E-3</v>
      </c>
      <c r="AO64" s="98">
        <f t="shared" si="8"/>
        <v>2.9999999999999992E-3</v>
      </c>
      <c r="AQ64" s="184" t="b">
        <f t="shared" si="3"/>
        <v>1</v>
      </c>
      <c r="AR64" s="184" t="b">
        <f t="shared" si="3"/>
        <v>1</v>
      </c>
      <c r="AS64" s="184" t="b">
        <f t="shared" si="3"/>
        <v>1</v>
      </c>
      <c r="AT64" s="184" t="b">
        <f t="shared" si="3"/>
        <v>1</v>
      </c>
      <c r="AU64" s="188" t="str">
        <f t="shared" si="4"/>
        <v>6.</v>
      </c>
      <c r="AV64" s="184" t="str">
        <f t="shared" si="5"/>
        <v>Análise de motivos de manutenção</v>
      </c>
      <c r="AW64" s="189">
        <f t="shared" si="6"/>
        <v>0.02</v>
      </c>
    </row>
    <row r="65" spans="1:50" ht="45.75" customHeight="1" x14ac:dyDescent="0.3">
      <c r="A65" s="1">
        <v>56</v>
      </c>
      <c r="B65" s="168" t="s">
        <v>159</v>
      </c>
      <c r="C65" s="115" t="s">
        <v>167</v>
      </c>
      <c r="D65" s="169" t="s">
        <v>93</v>
      </c>
      <c r="E65" s="170" t="s">
        <v>168</v>
      </c>
      <c r="F65" s="180">
        <v>2.5000000000000001E-2</v>
      </c>
      <c r="G65" s="172" t="str">
        <f>Mantenimiento!F16</f>
        <v>Não cumpre</v>
      </c>
      <c r="H65" s="175">
        <f>Mantenimiento!G16</f>
        <v>0</v>
      </c>
      <c r="I65" s="140">
        <f>Mantenimiento!H16</f>
        <v>1</v>
      </c>
      <c r="J65" s="140" t="str">
        <f>Mantenimiento!I16</f>
        <v/>
      </c>
      <c r="K65" s="140" t="str">
        <f>Mantenimiento!J16</f>
        <v/>
      </c>
      <c r="L65" s="140" t="str">
        <f>Mantenimiento!K16</f>
        <v/>
      </c>
      <c r="M65" s="172" t="str">
        <f>Mantenimiento!L16</f>
        <v>Parcial</v>
      </c>
      <c r="N65" s="175">
        <f>Mantenimiento!M16</f>
        <v>1.0000000000000002E-2</v>
      </c>
      <c r="O65" s="172">
        <f>Mantenimiento!N16</f>
        <v>0</v>
      </c>
      <c r="P65" s="172" t="str">
        <f>Mantenimiento!O16</f>
        <v>D</v>
      </c>
      <c r="Q65" s="172" t="str">
        <f>Mantenimiento!P16</f>
        <v>D</v>
      </c>
      <c r="R65" s="172" t="str">
        <f>Mantenimiento!Q16</f>
        <v>D</v>
      </c>
      <c r="S65" s="172" t="str">
        <f>Mantenimiento!R16</f>
        <v>D</v>
      </c>
      <c r="T65" s="172">
        <f>Mantenimiento!S16</f>
        <v>3</v>
      </c>
      <c r="U65" s="172" t="str">
        <f>Mantenimiento!T16</f>
        <v>Baja</v>
      </c>
      <c r="V65" s="142" t="str">
        <f>IF(Mantenimiento!U16=0.5,"",Mantenimiento!U16)</f>
        <v/>
      </c>
      <c r="W65" s="142" t="str">
        <f>IF(Mantenimiento!V16=0.5,"",Mantenimiento!V16)</f>
        <v/>
      </c>
      <c r="X65" s="142" t="str">
        <f>IF(Mantenimiento!W16=0.5,"",Mantenimiento!W16)</f>
        <v/>
      </c>
      <c r="Y65" s="142" t="str">
        <f>IF(Mantenimiento!X16=0.5,"",Mantenimiento!X16)</f>
        <v/>
      </c>
      <c r="Z65" s="142" t="str">
        <f>IF(Mantenimiento!Y16=0.5,"",Mantenimiento!Y16)</f>
        <v/>
      </c>
      <c r="AA65" s="178" t="str">
        <f ca="1">Mantenimiento!Z16</f>
        <v>Retrasado</v>
      </c>
      <c r="AB65" s="172" t="str">
        <f>Mantenimiento!AA16</f>
        <v>Mais que cumpre</v>
      </c>
      <c r="AC65" s="175">
        <f>Mantenimiento!AB16</f>
        <v>2.1250000000000002E-2</v>
      </c>
      <c r="AD65" s="175">
        <f>Mantenimiento!AC16</f>
        <v>2.1249999999999996</v>
      </c>
      <c r="AE65" s="140">
        <f>Mantenimiento!AD16</f>
        <v>3</v>
      </c>
      <c r="AF65" s="140">
        <f>Mantenimiento!AE16</f>
        <v>3</v>
      </c>
      <c r="AG65" s="140">
        <f>Mantenimiento!AF16</f>
        <v>3</v>
      </c>
      <c r="AH65" s="140" t="str">
        <f>Mantenimiento!AG16</f>
        <v/>
      </c>
      <c r="AI65" s="187" t="str">
        <f>IF('Mantenimiento 7'!E16=0,"",'Mantenimiento 7'!E16)</f>
        <v>BC</v>
      </c>
      <c r="AJ65" s="187" t="str">
        <f>IF('Mantenimiento 7'!F16=0,"",'Mantenimiento 7'!F16)</f>
        <v>X</v>
      </c>
      <c r="AK65" s="187" t="str">
        <f>IF('Mantenimiento 7'!G16=0,"",'Mantenimiento 7'!G16)</f>
        <v>X</v>
      </c>
      <c r="AL65" s="187" t="str">
        <f>IF('Mantenimiento 7'!H16=0,"",'Mantenimiento 7'!H16)</f>
        <v/>
      </c>
      <c r="AM65" s="187" t="str">
        <f>IF('Mantenimiento 7'!I16=0,"",'Mantenimiento 7'!I16)</f>
        <v/>
      </c>
      <c r="AN65" s="98">
        <f t="shared" si="7"/>
        <v>2.1250000000000002E-2</v>
      </c>
      <c r="AO65" s="98">
        <f t="shared" si="8"/>
        <v>1.0000000000000002E-2</v>
      </c>
      <c r="AQ65" s="184" t="b">
        <f t="shared" si="3"/>
        <v>1</v>
      </c>
      <c r="AR65" s="184" t="b">
        <f t="shared" si="3"/>
        <v>1</v>
      </c>
      <c r="AS65" s="184" t="b">
        <f t="shared" si="3"/>
        <v>1</v>
      </c>
      <c r="AT65" s="184" t="b">
        <f t="shared" si="3"/>
        <v>1</v>
      </c>
      <c r="AU65" s="188" t="str">
        <f t="shared" si="4"/>
        <v>7.</v>
      </c>
      <c r="AV65" s="184" t="str">
        <f t="shared" si="5"/>
        <v>Produtividade e capacitação dos técnicos</v>
      </c>
      <c r="AW65" s="189">
        <f t="shared" si="6"/>
        <v>2.1250000000000002E-2</v>
      </c>
    </row>
    <row r="66" spans="1:50" ht="45.75" customHeight="1" x14ac:dyDescent="0.3">
      <c r="A66" s="1">
        <v>57</v>
      </c>
      <c r="B66" s="168" t="s">
        <v>159</v>
      </c>
      <c r="C66" s="115" t="s">
        <v>169</v>
      </c>
      <c r="D66" s="169" t="s">
        <v>95</v>
      </c>
      <c r="E66" s="170" t="s">
        <v>170</v>
      </c>
      <c r="F66" s="180">
        <v>0.02</v>
      </c>
      <c r="G66" s="172" t="str">
        <f>Mantenimiento!F17</f>
        <v>Mais que cumpre</v>
      </c>
      <c r="H66" s="175">
        <f>Mantenimiento!G17</f>
        <v>1.7000000000000001E-2</v>
      </c>
      <c r="I66" s="140">
        <f>Mantenimiento!H17</f>
        <v>3</v>
      </c>
      <c r="J66" s="140">
        <f>Mantenimiento!I17</f>
        <v>3</v>
      </c>
      <c r="K66" s="140">
        <f>Mantenimiento!J17</f>
        <v>3</v>
      </c>
      <c r="L66" s="140">
        <f>Mantenimiento!K17</f>
        <v>1</v>
      </c>
      <c r="M66" s="172" t="str">
        <f>Mantenimiento!L17</f>
        <v>Mais que Cumpre</v>
      </c>
      <c r="N66" s="175">
        <f>Mantenimiento!M17</f>
        <v>1.7000000000000001E-2</v>
      </c>
      <c r="O66" s="172">
        <f>Mantenimiento!N17</f>
        <v>1</v>
      </c>
      <c r="P66" s="172" t="str">
        <f>Mantenimiento!O17</f>
        <v>-</v>
      </c>
      <c r="Q66" s="172" t="str">
        <f>Mantenimiento!P17</f>
        <v>D</v>
      </c>
      <c r="R66" s="172" t="str">
        <f>Mantenimiento!Q17</f>
        <v>D</v>
      </c>
      <c r="S66" s="172" t="str">
        <f>Mantenimiento!R17</f>
        <v>D</v>
      </c>
      <c r="T66" s="172">
        <f>Mantenimiento!S17</f>
        <v>3</v>
      </c>
      <c r="U66" s="172" t="str">
        <f>Mantenimiento!T17</f>
        <v>Baja</v>
      </c>
      <c r="V66" s="142" t="str">
        <f>IF(Mantenimiento!U17=0.5,"",Mantenimiento!U17)</f>
        <v/>
      </c>
      <c r="W66" s="142" t="str">
        <f>IF(Mantenimiento!V17=0.5,"",Mantenimiento!V17)</f>
        <v/>
      </c>
      <c r="X66" s="142" t="str">
        <f>IF(Mantenimiento!W17=0.5,"",Mantenimiento!W17)</f>
        <v/>
      </c>
      <c r="Y66" s="142" t="str">
        <f>IF(Mantenimiento!X17=0.5,"",Mantenimiento!X17)</f>
        <v/>
      </c>
      <c r="Z66" s="142" t="str">
        <f>IF(Mantenimiento!Y17=0.5,"",Mantenimiento!Y17)</f>
        <v/>
      </c>
      <c r="AA66" s="178" t="str">
        <f ca="1">Mantenimiento!Z17</f>
        <v>A Tiempo</v>
      </c>
      <c r="AB66" s="172" t="str">
        <f>Mantenimiento!AA17</f>
        <v>Mais que cumpre</v>
      </c>
      <c r="AC66" s="175">
        <f>Mantenimiento!AB17</f>
        <v>1.7000000000000001E-2</v>
      </c>
      <c r="AD66" s="175">
        <f>Mantenimiento!AC17</f>
        <v>1</v>
      </c>
      <c r="AE66" s="140">
        <f>Mantenimiento!AD17</f>
        <v>3</v>
      </c>
      <c r="AF66" s="140">
        <f>Mantenimiento!AE17</f>
        <v>3</v>
      </c>
      <c r="AG66" s="140">
        <f>Mantenimiento!AF17</f>
        <v>3</v>
      </c>
      <c r="AH66" s="140" t="str">
        <f>Mantenimiento!AG17</f>
        <v/>
      </c>
      <c r="AI66" s="187" t="str">
        <f>IF('Mantenimiento 8'!E16=0,"",'Mantenimiento 8'!E16)</f>
        <v>BC</v>
      </c>
      <c r="AJ66" s="187" t="str">
        <f>IF('Mantenimiento 8'!F16=0,"",'Mantenimiento 8'!F16)</f>
        <v/>
      </c>
      <c r="AK66" s="187" t="str">
        <f>IF('Mantenimiento 8'!G16=0,"",'Mantenimiento 8'!G16)</f>
        <v/>
      </c>
      <c r="AL66" s="187" t="str">
        <f>IF('Mantenimiento 8'!H16=0,"",'Mantenimiento 8'!H16)</f>
        <v>x</v>
      </c>
      <c r="AM66" s="187" t="str">
        <f>IF('Mantenimiento 8'!I16=0,"",'Mantenimiento 8'!I16)</f>
        <v/>
      </c>
      <c r="AN66" s="98">
        <f t="shared" si="7"/>
        <v>0</v>
      </c>
      <c r="AO66" s="98">
        <f t="shared" si="8"/>
        <v>0</v>
      </c>
      <c r="AQ66" s="184" t="b">
        <f t="shared" si="3"/>
        <v>1</v>
      </c>
      <c r="AR66" s="184" t="b">
        <f t="shared" si="3"/>
        <v>1</v>
      </c>
      <c r="AS66" s="184" t="b">
        <f t="shared" si="3"/>
        <v>1</v>
      </c>
      <c r="AT66" s="184" t="b">
        <f t="shared" si="3"/>
        <v>1</v>
      </c>
      <c r="AU66" s="188" t="str">
        <f t="shared" si="4"/>
        <v>8.</v>
      </c>
      <c r="AV66" s="184" t="str">
        <f t="shared" si="5"/>
        <v>Controle de peças de reposição</v>
      </c>
      <c r="AW66" s="189">
        <f t="shared" si="6"/>
        <v>1.7000000000000001E-2</v>
      </c>
    </row>
    <row r="67" spans="1:50" ht="45.75" customHeight="1" x14ac:dyDescent="0.3">
      <c r="A67" s="1">
        <v>58</v>
      </c>
      <c r="B67" s="168" t="s">
        <v>159</v>
      </c>
      <c r="C67" s="115" t="s">
        <v>99</v>
      </c>
      <c r="D67" s="169" t="s">
        <v>97</v>
      </c>
      <c r="E67" s="170" t="s">
        <v>171</v>
      </c>
      <c r="F67" s="180">
        <v>1.4999999999999999E-2</v>
      </c>
      <c r="G67" s="172" t="str">
        <f>Mantenimiento!F18</f>
        <v>Parcial</v>
      </c>
      <c r="H67" s="175">
        <f>Mantenimiento!G18</f>
        <v>6.0000000000000001E-3</v>
      </c>
      <c r="I67" s="140">
        <f>Mantenimiento!H18</f>
        <v>3</v>
      </c>
      <c r="J67" s="140">
        <f>Mantenimiento!I18</f>
        <v>1</v>
      </c>
      <c r="K67" s="140" t="str">
        <f>Mantenimiento!J18</f>
        <v/>
      </c>
      <c r="L67" s="140" t="str">
        <f>Mantenimiento!K18</f>
        <v/>
      </c>
      <c r="M67" s="172" t="str">
        <f>Mantenimiento!L18</f>
        <v>Parcial</v>
      </c>
      <c r="N67" s="175">
        <f>Mantenimiento!M18</f>
        <v>6.0000000000000001E-3</v>
      </c>
      <c r="O67" s="172">
        <f>Mantenimiento!N18</f>
        <v>1</v>
      </c>
      <c r="P67" s="172" t="str">
        <f>Mantenimiento!O18</f>
        <v>-</v>
      </c>
      <c r="Q67" s="172" t="str">
        <f>Mantenimiento!P18</f>
        <v>-</v>
      </c>
      <c r="R67" s="172" t="str">
        <f>Mantenimiento!Q18</f>
        <v>-</v>
      </c>
      <c r="S67" s="172" t="str">
        <f>Mantenimiento!R18</f>
        <v>-</v>
      </c>
      <c r="T67" s="172">
        <f>Mantenimiento!S18</f>
        <v>1</v>
      </c>
      <c r="U67" s="172" t="str">
        <f>Mantenimiento!T18</f>
        <v>No Planificado</v>
      </c>
      <c r="V67" s="142" t="str">
        <f>IF(Mantenimiento!U18=0.5,"",Mantenimiento!U18)</f>
        <v/>
      </c>
      <c r="W67" s="142" t="str">
        <f>IF(Mantenimiento!V18=0.5,"",Mantenimiento!V18)</f>
        <v/>
      </c>
      <c r="X67" s="142" t="str">
        <f>IF(Mantenimiento!W18=0.5,"",Mantenimiento!W18)</f>
        <v/>
      </c>
      <c r="Y67" s="142" t="str">
        <f>IF(Mantenimiento!X18=0.5,"",Mantenimiento!X18)</f>
        <v/>
      </c>
      <c r="Z67" s="142" t="str">
        <f>IF(Mantenimiento!Y18=0.5,"",Mantenimiento!Y18)</f>
        <v/>
      </c>
      <c r="AA67" s="178" t="str">
        <f ca="1">Mantenimiento!Z18</f>
        <v>A Tiempo</v>
      </c>
      <c r="AB67" s="172" t="str">
        <f>Mantenimiento!AA18</f>
        <v/>
      </c>
      <c r="AC67" s="175">
        <f>Mantenimiento!AB18</f>
        <v>0</v>
      </c>
      <c r="AD67" s="175">
        <f>Mantenimiento!AC18</f>
        <v>0</v>
      </c>
      <c r="AE67" s="140" t="str">
        <f>Mantenimiento!AD18</f>
        <v/>
      </c>
      <c r="AF67" s="140" t="str">
        <f>Mantenimiento!AE18</f>
        <v/>
      </c>
      <c r="AG67" s="140" t="str">
        <f>Mantenimiento!AF18</f>
        <v/>
      </c>
      <c r="AH67" s="140" t="str">
        <f>Mantenimiento!AG18</f>
        <v/>
      </c>
      <c r="AI67" s="187" t="str">
        <f>IF('Mantenimiento 9'!E16=0,"",'Mantenimiento 9'!E16)</f>
        <v>NBC</v>
      </c>
      <c r="AJ67" s="187" t="str">
        <f>IF('Mantenimiento 9'!F16=0,"",'Mantenimiento 9'!F16)</f>
        <v/>
      </c>
      <c r="AK67" s="187" t="str">
        <f>IF('Mantenimiento 9'!G16=0,"",'Mantenimiento 9'!G16)</f>
        <v/>
      </c>
      <c r="AL67" s="187" t="str">
        <f>IF('Mantenimiento 9'!H16=0,"",'Mantenimiento 9'!H16)</f>
        <v/>
      </c>
      <c r="AM67" s="187" t="str">
        <f>IF('Mantenimiento 9'!I16=0,"",'Mantenimiento 9'!I16)</f>
        <v/>
      </c>
      <c r="AN67" s="98">
        <f t="shared" si="7"/>
        <v>0</v>
      </c>
      <c r="AO67" s="98">
        <f t="shared" si="8"/>
        <v>0</v>
      </c>
      <c r="AQ67" s="184" t="b">
        <f t="shared" si="3"/>
        <v>1</v>
      </c>
      <c r="AR67" s="184" t="b">
        <f t="shared" si="3"/>
        <v>1</v>
      </c>
      <c r="AS67" s="184" t="b">
        <f t="shared" si="3"/>
        <v>1</v>
      </c>
      <c r="AT67" s="184" t="b">
        <f t="shared" si="3"/>
        <v>1</v>
      </c>
      <c r="AU67" s="188" t="str">
        <f t="shared" si="4"/>
        <v>9.</v>
      </c>
      <c r="AV67" s="184" t="str">
        <f t="shared" si="5"/>
        <v>Gerenciamento de garantia de fornecedores</v>
      </c>
      <c r="AW67" s="189">
        <f t="shared" si="6"/>
        <v>6.0000000000000001E-3</v>
      </c>
    </row>
    <row r="68" spans="1:50" ht="45.75" customHeight="1" x14ac:dyDescent="0.3">
      <c r="A68" s="1">
        <v>59</v>
      </c>
      <c r="B68" s="168" t="s">
        <v>159</v>
      </c>
      <c r="C68" s="115" t="s">
        <v>102</v>
      </c>
      <c r="D68" s="169" t="s">
        <v>100</v>
      </c>
      <c r="E68" s="170" t="s">
        <v>172</v>
      </c>
      <c r="F68" s="180">
        <v>1.4999999999999999E-2</v>
      </c>
      <c r="G68" s="172" t="str">
        <f>Mantenimiento!F19</f>
        <v>Não cumpre</v>
      </c>
      <c r="H68" s="175">
        <f>Mantenimiento!G19</f>
        <v>0</v>
      </c>
      <c r="I68" s="140">
        <f>Mantenimiento!H19</f>
        <v>1</v>
      </c>
      <c r="J68" s="140" t="str">
        <f>Mantenimiento!I19</f>
        <v/>
      </c>
      <c r="K68" s="140" t="str">
        <f>Mantenimiento!J19</f>
        <v/>
      </c>
      <c r="L68" s="140" t="str">
        <f>Mantenimiento!K19</f>
        <v/>
      </c>
      <c r="M68" s="172" t="str">
        <f>Mantenimiento!L19</f>
        <v>Parcial</v>
      </c>
      <c r="N68" s="175">
        <f>Mantenimiento!M19</f>
        <v>6.0000000000000001E-3</v>
      </c>
      <c r="O68" s="172">
        <f>Mantenimiento!N19</f>
        <v>0</v>
      </c>
      <c r="P68" s="172" t="str">
        <f>Mantenimiento!O19</f>
        <v>D</v>
      </c>
      <c r="Q68" s="172" t="str">
        <f>Mantenimiento!P19</f>
        <v>-</v>
      </c>
      <c r="R68" s="172" t="str">
        <f>Mantenimiento!Q19</f>
        <v>-</v>
      </c>
      <c r="S68" s="172" t="str">
        <f>Mantenimiento!R19</f>
        <v>-</v>
      </c>
      <c r="T68" s="172">
        <f>Mantenimiento!S19</f>
        <v>1</v>
      </c>
      <c r="U68" s="172" t="str">
        <f>Mantenimiento!T19</f>
        <v>Alta</v>
      </c>
      <c r="V68" s="142" t="str">
        <f>IF(Mantenimiento!U19=0.5,"",Mantenimiento!U19)</f>
        <v/>
      </c>
      <c r="W68" s="142" t="str">
        <f>IF(Mantenimiento!V19=0.5,"",Mantenimiento!V19)</f>
        <v/>
      </c>
      <c r="X68" s="142" t="str">
        <f>IF(Mantenimiento!W19=0.5,"",Mantenimiento!W19)</f>
        <v/>
      </c>
      <c r="Y68" s="142" t="str">
        <f>IF(Mantenimiento!X19=0.5,"",Mantenimiento!X19)</f>
        <v/>
      </c>
      <c r="Z68" s="142" t="str">
        <f>IF(Mantenimiento!Y19=0.5,"",Mantenimiento!Y19)</f>
        <v/>
      </c>
      <c r="AA68" s="178" t="str">
        <f ca="1">Mantenimiento!Z19</f>
        <v>Retrasado</v>
      </c>
      <c r="AB68" s="172" t="str">
        <f>Mantenimiento!AA19</f>
        <v>Cumpre</v>
      </c>
      <c r="AC68" s="175">
        <f>Mantenimiento!AB19</f>
        <v>1.0499999999999999E-2</v>
      </c>
      <c r="AD68" s="175">
        <f>Mantenimiento!AC19</f>
        <v>1.7499999999999998</v>
      </c>
      <c r="AE68" s="140">
        <f>Mantenimiento!AD19</f>
        <v>3</v>
      </c>
      <c r="AF68" s="140">
        <f>Mantenimiento!AE19</f>
        <v>3</v>
      </c>
      <c r="AG68" s="140" t="str">
        <f>Mantenimiento!AF19</f>
        <v/>
      </c>
      <c r="AH68" s="140" t="str">
        <f>Mantenimiento!AG19</f>
        <v/>
      </c>
      <c r="AI68" s="187" t="str">
        <f>IF('Mantenimiento 10'!E16=0,"",'Mantenimiento 10'!E16)</f>
        <v>BC</v>
      </c>
      <c r="AJ68" s="187" t="str">
        <f>IF('Mantenimiento 10'!F16=0,"",'Mantenimiento 10'!F16)</f>
        <v/>
      </c>
      <c r="AK68" s="187" t="str">
        <f>IF('Mantenimiento 10'!G16=0,"",'Mantenimiento 10'!G16)</f>
        <v>X</v>
      </c>
      <c r="AL68" s="187" t="str">
        <f>IF('Mantenimiento 10'!H16=0,"",'Mantenimiento 10'!H16)</f>
        <v/>
      </c>
      <c r="AM68" s="187" t="str">
        <f>IF('Mantenimiento 10'!I16=0,"",'Mantenimiento 10'!I16)</f>
        <v/>
      </c>
      <c r="AN68" s="98">
        <f t="shared" si="7"/>
        <v>1.0499999999999999E-2</v>
      </c>
      <c r="AO68" s="98">
        <f t="shared" si="8"/>
        <v>6.0000000000000001E-3</v>
      </c>
      <c r="AQ68" s="184" t="b">
        <f t="shared" si="3"/>
        <v>1</v>
      </c>
      <c r="AR68" s="184" t="b">
        <f t="shared" si="3"/>
        <v>1</v>
      </c>
      <c r="AS68" s="184" t="b">
        <f t="shared" si="3"/>
        <v>1</v>
      </c>
      <c r="AT68" s="184" t="b">
        <f t="shared" si="3"/>
        <v>1</v>
      </c>
      <c r="AU68" s="188" t="str">
        <f t="shared" si="4"/>
        <v>10.</v>
      </c>
      <c r="AV68" s="184" t="str">
        <f t="shared" si="5"/>
        <v>Conectividade para Manutenção</v>
      </c>
      <c r="AW68" s="189">
        <f t="shared" si="6"/>
        <v>1.0499999999999999E-2</v>
      </c>
    </row>
    <row r="69" spans="1:50" ht="45.75" customHeight="1" x14ac:dyDescent="0.3">
      <c r="A69" s="1">
        <v>60</v>
      </c>
      <c r="B69" s="168" t="s">
        <v>16</v>
      </c>
      <c r="C69" s="115" t="s">
        <v>173</v>
      </c>
      <c r="D69" s="169" t="s">
        <v>79</v>
      </c>
      <c r="E69" s="170" t="s">
        <v>174</v>
      </c>
      <c r="F69" s="180">
        <v>0.02</v>
      </c>
      <c r="G69" s="172" t="str">
        <f>Descarte!F10</f>
        <v>Cumpre</v>
      </c>
      <c r="H69" s="175">
        <f>Descarte!G10</f>
        <v>1.3999999999999999E-2</v>
      </c>
      <c r="I69" s="140">
        <f>Descarte!H10</f>
        <v>3</v>
      </c>
      <c r="J69" s="140">
        <f>Descarte!I10</f>
        <v>3</v>
      </c>
      <c r="K69" s="140" t="str">
        <f>Descarte!J10</f>
        <v/>
      </c>
      <c r="L69" s="140" t="str">
        <f>Descarte!K10</f>
        <v/>
      </c>
      <c r="M69" s="172" t="str">
        <f>Descarte!L10</f>
        <v>Cumpre</v>
      </c>
      <c r="N69" s="175">
        <f>Descarte!M10</f>
        <v>1.3999999999999999E-2</v>
      </c>
      <c r="O69" s="172">
        <f>Descarte!N10</f>
        <v>1</v>
      </c>
      <c r="P69" s="172" t="str">
        <f>Descarte!O10</f>
        <v>-</v>
      </c>
      <c r="Q69" s="172" t="str">
        <f>Descarte!P10</f>
        <v>-</v>
      </c>
      <c r="R69" s="172" t="str">
        <f>Descarte!Q10</f>
        <v>D</v>
      </c>
      <c r="S69" s="172" t="str">
        <f>Descarte!R10</f>
        <v>D</v>
      </c>
      <c r="T69" s="172">
        <f>Descarte!S10</f>
        <v>1</v>
      </c>
      <c r="U69" s="172" t="str">
        <f>Descarte!T10</f>
        <v>No Planificado</v>
      </c>
      <c r="V69" s="142" t="str">
        <f>IF(Descarte!U10=0.5,"",Descarte!U10)</f>
        <v/>
      </c>
      <c r="W69" s="142" t="str">
        <f>IF(Descarte!V10=0.5,"",Descarte!V10)</f>
        <v/>
      </c>
      <c r="X69" s="142" t="str">
        <f>IF(Descarte!W10=0.5,"",Descarte!W10)</f>
        <v/>
      </c>
      <c r="Y69" s="142" t="str">
        <f>IF(Descarte!X10=0.5,"",Descarte!X10)</f>
        <v/>
      </c>
      <c r="Z69" s="142" t="str">
        <f>IF(Descarte!Y10=0.5,"",Descarte!Y10)</f>
        <v/>
      </c>
      <c r="AA69" s="178" t="str">
        <f ca="1">Descarte!Z10</f>
        <v>A Tiempo</v>
      </c>
      <c r="AB69" s="172" t="str">
        <f>Descarte!AA10</f>
        <v>Melhor Prática</v>
      </c>
      <c r="AC69" s="175">
        <f>Descarte!AB10</f>
        <v>0.02</v>
      </c>
      <c r="AD69" s="175">
        <f>Descarte!AC10</f>
        <v>1.4285714285714288</v>
      </c>
      <c r="AE69" s="140">
        <f>Descarte!AD10</f>
        <v>3</v>
      </c>
      <c r="AF69" s="140">
        <f>Descarte!AE10</f>
        <v>3</v>
      </c>
      <c r="AG69" s="140">
        <f>Descarte!AF10</f>
        <v>3</v>
      </c>
      <c r="AH69" s="140">
        <f>Descarte!AG10</f>
        <v>3</v>
      </c>
      <c r="AI69" s="187" t="str">
        <f>IF('Descarte 1'!E16=0,"",'Descarte 1'!E16)</f>
        <v>BC</v>
      </c>
      <c r="AJ69" s="187" t="str">
        <f>IF('Descarte 1'!F16=0,"",'Descarte 1'!F16)</f>
        <v>X</v>
      </c>
      <c r="AK69" s="187" t="str">
        <f>IF('Descarte 1'!G16=0,"",'Descarte 1'!G16)</f>
        <v/>
      </c>
      <c r="AL69" s="187" t="str">
        <f>IF('Descarte 1'!H16=0,"",'Descarte 1'!H16)</f>
        <v/>
      </c>
      <c r="AM69" s="187" t="str">
        <f>IF('Descarte 1'!I16=0,"",'Descarte 1'!I16)</f>
        <v/>
      </c>
      <c r="AN69" s="98">
        <f t="shared" si="7"/>
        <v>6.0000000000000019E-3</v>
      </c>
      <c r="AO69" s="98">
        <f t="shared" si="8"/>
        <v>0</v>
      </c>
      <c r="AQ69" s="184" t="b">
        <f t="shared" si="3"/>
        <v>1</v>
      </c>
      <c r="AR69" s="184" t="b">
        <f t="shared" si="3"/>
        <v>1</v>
      </c>
      <c r="AS69" s="184" t="b">
        <f t="shared" si="3"/>
        <v>1</v>
      </c>
      <c r="AT69" s="184" t="b">
        <f t="shared" si="3"/>
        <v>1</v>
      </c>
      <c r="AU69" s="188" t="str">
        <f t="shared" si="4"/>
        <v>1.</v>
      </c>
      <c r="AV69" s="184" t="str">
        <f t="shared" si="5"/>
        <v>Procedimentos para minimizar o descarte</v>
      </c>
      <c r="AW69" s="189">
        <f t="shared" si="6"/>
        <v>0.02</v>
      </c>
    </row>
    <row r="70" spans="1:50" ht="45.75" customHeight="1" x14ac:dyDescent="0.3">
      <c r="A70" s="1">
        <v>61</v>
      </c>
      <c r="B70" s="168" t="s">
        <v>16</v>
      </c>
      <c r="C70" s="115" t="s">
        <v>173</v>
      </c>
      <c r="D70" s="169" t="s">
        <v>81</v>
      </c>
      <c r="E70" s="170" t="s">
        <v>175</v>
      </c>
      <c r="F70" s="180">
        <v>5.0000000000000001E-3</v>
      </c>
      <c r="G70" s="172" t="str">
        <f>Descarte!F11</f>
        <v>Mais que cumpre</v>
      </c>
      <c r="H70" s="175">
        <f>Descarte!G11</f>
        <v>4.2500000000000003E-3</v>
      </c>
      <c r="I70" s="140">
        <f>Descarte!H11</f>
        <v>3</v>
      </c>
      <c r="J70" s="140">
        <f>Descarte!I11</f>
        <v>3</v>
      </c>
      <c r="K70" s="140">
        <f>Descarte!J11</f>
        <v>3</v>
      </c>
      <c r="L70" s="140">
        <f>Descarte!K11</f>
        <v>1</v>
      </c>
      <c r="M70" s="172" t="str">
        <f>Descarte!L11</f>
        <v>Melhor Prática</v>
      </c>
      <c r="N70" s="175">
        <f>Descarte!M11</f>
        <v>5.0000000000000001E-3</v>
      </c>
      <c r="O70" s="172">
        <f>Descarte!N11</f>
        <v>0.85000000000000009</v>
      </c>
      <c r="P70" s="172" t="str">
        <f>Descarte!O11</f>
        <v>-</v>
      </c>
      <c r="Q70" s="172" t="str">
        <f>Descarte!P11</f>
        <v>-</v>
      </c>
      <c r="R70" s="172" t="str">
        <f>Descarte!Q11</f>
        <v>-</v>
      </c>
      <c r="S70" s="172" t="str">
        <f>Descarte!R11</f>
        <v>D</v>
      </c>
      <c r="T70" s="172">
        <f>Descarte!S11</f>
        <v>3</v>
      </c>
      <c r="U70" s="172" t="str">
        <f>Descarte!T11</f>
        <v>Baja</v>
      </c>
      <c r="V70" s="142" t="str">
        <f>IF(Descarte!U11=0.5,"",Descarte!U11)</f>
        <v/>
      </c>
      <c r="W70" s="142" t="str">
        <f>IF(Descarte!V11=0.5,"",Descarte!V11)</f>
        <v/>
      </c>
      <c r="X70" s="142">
        <f>IF(Descarte!W11=0.5,"",Descarte!W11)</f>
        <v>1</v>
      </c>
      <c r="Y70" s="142">
        <f>IF(Descarte!X11=0.5,"",Descarte!X11)</f>
        <v>1</v>
      </c>
      <c r="Z70" s="142">
        <f>IF(Descarte!Y11=0.5,"",Descarte!Y11)</f>
        <v>1</v>
      </c>
      <c r="AA70" s="178" t="str">
        <f ca="1">Descarte!Z11</f>
        <v>Finalizado</v>
      </c>
      <c r="AB70" s="172" t="str">
        <f>Descarte!AA11</f>
        <v>Melhor Prática</v>
      </c>
      <c r="AC70" s="175">
        <f>Descarte!AB11</f>
        <v>5.0000000000000001E-3</v>
      </c>
      <c r="AD70" s="175">
        <f>Descarte!AC11</f>
        <v>1</v>
      </c>
      <c r="AE70" s="140">
        <f>Descarte!AD11</f>
        <v>3</v>
      </c>
      <c r="AF70" s="140">
        <f>Descarte!AE11</f>
        <v>3</v>
      </c>
      <c r="AG70" s="140">
        <f>Descarte!AF11</f>
        <v>3</v>
      </c>
      <c r="AH70" s="140">
        <f>Descarte!AG11</f>
        <v>3</v>
      </c>
      <c r="AI70" s="187" t="str">
        <f>IF('Descarte 2'!E16=0,"",'Descarte 2'!E16)</f>
        <v>BC</v>
      </c>
      <c r="AJ70" s="187" t="str">
        <f>IF('Descarte 2'!F16=0,"",'Descarte 2'!F16)</f>
        <v/>
      </c>
      <c r="AK70" s="187" t="str">
        <f>IF('Descarte 2'!G16=0,"",'Descarte 2'!G16)</f>
        <v/>
      </c>
      <c r="AL70" s="187" t="str">
        <f>IF('Descarte 2'!H16=0,"",'Descarte 2'!H16)</f>
        <v>X</v>
      </c>
      <c r="AM70" s="187" t="str">
        <f>IF('Descarte 2'!I16=0,"",'Descarte 2'!I16)</f>
        <v>X</v>
      </c>
      <c r="AN70" s="98">
        <f t="shared" si="7"/>
        <v>7.499999999999998E-4</v>
      </c>
      <c r="AO70" s="98">
        <f t="shared" si="8"/>
        <v>7.499999999999998E-4</v>
      </c>
      <c r="AQ70" s="184" t="b">
        <f t="shared" si="3"/>
        <v>1</v>
      </c>
      <c r="AR70" s="184" t="b">
        <f t="shared" si="3"/>
        <v>1</v>
      </c>
      <c r="AS70" s="184" t="b">
        <f t="shared" si="3"/>
        <v>1</v>
      </c>
      <c r="AT70" s="184" t="b">
        <f t="shared" si="3"/>
        <v>1</v>
      </c>
      <c r="AU70" s="188" t="str">
        <f t="shared" si="4"/>
        <v>2.</v>
      </c>
      <c r="AV70" s="184" t="str">
        <f t="shared" si="5"/>
        <v>Aprovação e segregação do descarte</v>
      </c>
      <c r="AW70" s="189">
        <f t="shared" si="6"/>
        <v>5.0000000000000001E-3</v>
      </c>
    </row>
    <row r="71" spans="1:50" ht="45.75" customHeight="1" x14ac:dyDescent="0.3">
      <c r="A71" s="1">
        <v>62</v>
      </c>
      <c r="B71" s="168" t="s">
        <v>16</v>
      </c>
      <c r="C71" s="115" t="s">
        <v>176</v>
      </c>
      <c r="D71" s="169" t="s">
        <v>83</v>
      </c>
      <c r="E71" s="170" t="s">
        <v>177</v>
      </c>
      <c r="F71" s="180">
        <v>0.01</v>
      </c>
      <c r="G71" s="172" t="str">
        <f>Descarte!F12</f>
        <v>Parcial</v>
      </c>
      <c r="H71" s="175">
        <f>Descarte!G12</f>
        <v>4.0000000000000001E-3</v>
      </c>
      <c r="I71" s="140">
        <f>Descarte!H12</f>
        <v>3</v>
      </c>
      <c r="J71" s="140">
        <f>Descarte!I12</f>
        <v>1</v>
      </c>
      <c r="K71" s="140">
        <f>Descarte!J12</f>
        <v>3</v>
      </c>
      <c r="L71" s="140">
        <f>Descarte!K12</f>
        <v>1</v>
      </c>
      <c r="M71" s="172" t="str">
        <f>Descarte!L12</f>
        <v>Mais que Cumpre</v>
      </c>
      <c r="N71" s="175">
        <f>Descarte!M12</f>
        <v>8.5000000000000006E-3</v>
      </c>
      <c r="O71" s="172">
        <f>Descarte!N12</f>
        <v>0.47058823529411764</v>
      </c>
      <c r="P71" s="172" t="str">
        <f>Descarte!O12</f>
        <v>-</v>
      </c>
      <c r="Q71" s="172" t="str">
        <f>Descarte!P12</f>
        <v>D</v>
      </c>
      <c r="R71" s="172" t="str">
        <f>Descarte!Q12</f>
        <v>D</v>
      </c>
      <c r="S71" s="172" t="str">
        <f>Descarte!R12</f>
        <v>D</v>
      </c>
      <c r="T71" s="172">
        <f>Descarte!S12</f>
        <v>3</v>
      </c>
      <c r="U71" s="172" t="str">
        <f>Descarte!T12</f>
        <v>Baja</v>
      </c>
      <c r="V71" s="142" t="str">
        <f>IF(Descarte!U12=0.5,"",Descarte!U12)</f>
        <v/>
      </c>
      <c r="W71" s="142" t="str">
        <f>IF(Descarte!V12=0.5,"",Descarte!V12)</f>
        <v/>
      </c>
      <c r="X71" s="142" t="str">
        <f>IF(Descarte!W12=0.5,"",Descarte!W12)</f>
        <v/>
      </c>
      <c r="Y71" s="142" t="str">
        <f>IF(Descarte!X12=0.5,"",Descarte!X12)</f>
        <v/>
      </c>
      <c r="Z71" s="142" t="str">
        <f>IF(Descarte!Y12=0.5,"",Descarte!Y12)</f>
        <v/>
      </c>
      <c r="AA71" s="178" t="str">
        <f ca="1">Descarte!Z12</f>
        <v>A Tiempo</v>
      </c>
      <c r="AB71" s="172" t="str">
        <f>Descarte!AA12</f>
        <v>Mais que cumpre</v>
      </c>
      <c r="AC71" s="175">
        <f>Descarte!AB12</f>
        <v>8.5000000000000006E-3</v>
      </c>
      <c r="AD71" s="175">
        <f>Descarte!AC12</f>
        <v>1</v>
      </c>
      <c r="AE71" s="140">
        <f>Descarte!AD12</f>
        <v>3</v>
      </c>
      <c r="AF71" s="140">
        <f>Descarte!AE12</f>
        <v>3</v>
      </c>
      <c r="AG71" s="140">
        <f>Descarte!AF12</f>
        <v>3</v>
      </c>
      <c r="AH71" s="140" t="str">
        <f>Descarte!AG12</f>
        <v/>
      </c>
      <c r="AI71" s="187" t="str">
        <f>IF('Descarte 3'!E16=0,"",'Descarte 3'!E16)</f>
        <v>NBC</v>
      </c>
      <c r="AJ71" s="187" t="str">
        <f>IF('Descarte 3'!F16=0,"",'Descarte 3'!F16)</f>
        <v/>
      </c>
      <c r="AK71" s="187" t="str">
        <f>IF('Descarte 3'!G16=0,"",'Descarte 3'!G16)</f>
        <v/>
      </c>
      <c r="AL71" s="187" t="str">
        <f>IF('Descarte 3'!H16=0,"",'Descarte 3'!H16)</f>
        <v/>
      </c>
      <c r="AM71" s="187" t="str">
        <f>IF('Descarte 3'!I16=0,"",'Descarte 3'!I16)</f>
        <v/>
      </c>
      <c r="AN71" s="98">
        <f t="shared" si="7"/>
        <v>4.5000000000000005E-3</v>
      </c>
      <c r="AO71" s="98">
        <f t="shared" si="8"/>
        <v>4.5000000000000005E-3</v>
      </c>
      <c r="AQ71" s="184" t="b">
        <f t="shared" si="3"/>
        <v>1</v>
      </c>
      <c r="AR71" s="184" t="b">
        <f t="shared" si="3"/>
        <v>1</v>
      </c>
      <c r="AS71" s="184" t="b">
        <f t="shared" si="3"/>
        <v>1</v>
      </c>
      <c r="AT71" s="184" t="b">
        <f t="shared" si="3"/>
        <v>1</v>
      </c>
      <c r="AU71" s="188" t="str">
        <f t="shared" si="4"/>
        <v>3.</v>
      </c>
      <c r="AV71" s="184" t="str">
        <f t="shared" si="5"/>
        <v>Análise do descarte</v>
      </c>
      <c r="AW71" s="189">
        <f t="shared" si="6"/>
        <v>8.5000000000000006E-3</v>
      </c>
    </row>
    <row r="72" spans="1:50" ht="45.75" customHeight="1" x14ac:dyDescent="0.3">
      <c r="A72" s="1">
        <v>63</v>
      </c>
      <c r="B72" s="168" t="s">
        <v>16</v>
      </c>
      <c r="C72" s="115" t="s">
        <v>105</v>
      </c>
      <c r="D72" s="169" t="s">
        <v>85</v>
      </c>
      <c r="E72" s="170" t="s">
        <v>178</v>
      </c>
      <c r="F72" s="180">
        <v>0.01</v>
      </c>
      <c r="G72" s="172" t="str">
        <f>Descarte!F13</f>
        <v>Não cumpre</v>
      </c>
      <c r="H72" s="175">
        <f>Descarte!G13</f>
        <v>0</v>
      </c>
      <c r="I72" s="140">
        <f>Descarte!H13</f>
        <v>1</v>
      </c>
      <c r="J72" s="140">
        <f>Descarte!I13</f>
        <v>1</v>
      </c>
      <c r="K72" s="140">
        <f>Descarte!J13</f>
        <v>1</v>
      </c>
      <c r="L72" s="140" t="str">
        <f>Descarte!K13</f>
        <v/>
      </c>
      <c r="M72" s="172" t="str">
        <f>Descarte!L13</f>
        <v>Mais que Cumpre</v>
      </c>
      <c r="N72" s="175">
        <f>Descarte!M13</f>
        <v>8.5000000000000006E-3</v>
      </c>
      <c r="O72" s="172">
        <f>Descarte!N13</f>
        <v>0</v>
      </c>
      <c r="P72" s="172" t="str">
        <f>Descarte!O13</f>
        <v>-</v>
      </c>
      <c r="Q72" s="172" t="str">
        <f>Descarte!P13</f>
        <v>-</v>
      </c>
      <c r="R72" s="172" t="str">
        <f>Descarte!Q13</f>
        <v>D</v>
      </c>
      <c r="S72" s="172" t="str">
        <f>Descarte!R13</f>
        <v>-</v>
      </c>
      <c r="T72" s="172">
        <f>Descarte!S13</f>
        <v>2</v>
      </c>
      <c r="U72" s="172" t="str">
        <f>Descarte!T13</f>
        <v>Alta</v>
      </c>
      <c r="V72" s="142" t="str">
        <f>IF(Descarte!U13=0.5,"",Descarte!U13)</f>
        <v/>
      </c>
      <c r="W72" s="142" t="str">
        <f>IF(Descarte!V13=0.5,"",Descarte!V13)</f>
        <v/>
      </c>
      <c r="X72" s="142" t="str">
        <f>IF(Descarte!W13=0.5,"",Descarte!W13)</f>
        <v/>
      </c>
      <c r="Y72" s="142" t="str">
        <f>IF(Descarte!X13=0.5,"",Descarte!X13)</f>
        <v/>
      </c>
      <c r="Z72" s="142" t="str">
        <f>IF(Descarte!Y13=0.5,"",Descarte!Y13)</f>
        <v/>
      </c>
      <c r="AA72" s="178" t="str">
        <f ca="1">Descarte!Z13</f>
        <v>Retrasado</v>
      </c>
      <c r="AB72" s="172" t="str">
        <f>Descarte!AA13</f>
        <v>Melhor Prática</v>
      </c>
      <c r="AC72" s="175">
        <f>Descarte!AB13</f>
        <v>0.01</v>
      </c>
      <c r="AD72" s="175">
        <f>Descarte!AC13</f>
        <v>1.1764705882352942</v>
      </c>
      <c r="AE72" s="140">
        <f>Descarte!AD13</f>
        <v>3</v>
      </c>
      <c r="AF72" s="140">
        <f>Descarte!AE13</f>
        <v>3</v>
      </c>
      <c r="AG72" s="140">
        <f>Descarte!AF13</f>
        <v>3</v>
      </c>
      <c r="AH72" s="140">
        <f>Descarte!AG13</f>
        <v>3</v>
      </c>
      <c r="AI72" s="187" t="str">
        <f>IF('Descarte 4'!E16=0,"",'Descarte 4'!E16)</f>
        <v>BC</v>
      </c>
      <c r="AJ72" s="187" t="str">
        <f>IF('Descarte 4'!F16=0,"",'Descarte 4'!F16)</f>
        <v/>
      </c>
      <c r="AK72" s="187" t="str">
        <f>IF('Descarte 4'!G16=0,"",'Descarte 4'!G16)</f>
        <v/>
      </c>
      <c r="AL72" s="187" t="str">
        <f>IF('Descarte 4'!H16=0,"",'Descarte 4'!H16)</f>
        <v>X</v>
      </c>
      <c r="AM72" s="187" t="str">
        <f>IF('Descarte 4'!I16=0,"",'Descarte 4'!I16)</f>
        <v/>
      </c>
      <c r="AN72" s="98">
        <f t="shared" si="7"/>
        <v>0.01</v>
      </c>
      <c r="AO72" s="98">
        <f t="shared" si="8"/>
        <v>8.5000000000000006E-3</v>
      </c>
      <c r="AQ72" s="184" t="b">
        <f t="shared" si="3"/>
        <v>1</v>
      </c>
      <c r="AR72" s="184" t="b">
        <f t="shared" si="3"/>
        <v>1</v>
      </c>
      <c r="AS72" s="184" t="b">
        <f t="shared" si="3"/>
        <v>1</v>
      </c>
      <c r="AT72" s="184" t="b">
        <f t="shared" si="3"/>
        <v>1</v>
      </c>
      <c r="AU72" s="188" t="str">
        <f t="shared" si="4"/>
        <v>4.</v>
      </c>
      <c r="AV72" s="184" t="str">
        <f t="shared" si="5"/>
        <v>Sustentabilidade para descarte</v>
      </c>
      <c r="AW72" s="189">
        <f t="shared" si="6"/>
        <v>0.01</v>
      </c>
    </row>
    <row r="73" spans="1:50" ht="45.75" customHeight="1" x14ac:dyDescent="0.3">
      <c r="A73" s="1">
        <v>64</v>
      </c>
      <c r="B73" s="168" t="s">
        <v>16</v>
      </c>
      <c r="C73" s="115" t="s">
        <v>179</v>
      </c>
      <c r="D73" s="169" t="s">
        <v>88</v>
      </c>
      <c r="E73" s="170" t="s">
        <v>180</v>
      </c>
      <c r="F73" s="180">
        <v>5.0000000000000001E-3</v>
      </c>
      <c r="G73" s="172" t="str">
        <f>Descarte!F14</f>
        <v>Cumpre</v>
      </c>
      <c r="H73" s="175">
        <f>Descarte!G14</f>
        <v>3.4999999999999996E-3</v>
      </c>
      <c r="I73" s="140">
        <f>Descarte!H14</f>
        <v>3</v>
      </c>
      <c r="J73" s="140">
        <f>Descarte!I14</f>
        <v>3</v>
      </c>
      <c r="K73" s="140">
        <f>Descarte!J14</f>
        <v>1</v>
      </c>
      <c r="L73" s="140" t="str">
        <f>Descarte!K14</f>
        <v/>
      </c>
      <c r="M73" s="172" t="str">
        <f>Descarte!L14</f>
        <v>Mais que Cumpre</v>
      </c>
      <c r="N73" s="175">
        <f>Descarte!M14</f>
        <v>4.2500000000000003E-3</v>
      </c>
      <c r="O73" s="172">
        <f>Descarte!N14</f>
        <v>0.82352941176470573</v>
      </c>
      <c r="P73" s="172" t="str">
        <f>Descarte!O14</f>
        <v>-</v>
      </c>
      <c r="Q73" s="172" t="str">
        <f>Descarte!P14</f>
        <v>-</v>
      </c>
      <c r="R73" s="172" t="str">
        <f>Descarte!Q14</f>
        <v>-</v>
      </c>
      <c r="S73" s="172" t="str">
        <f>Descarte!R14</f>
        <v>-</v>
      </c>
      <c r="T73" s="172">
        <f>Descarte!S14</f>
        <v>3</v>
      </c>
      <c r="U73" s="172" t="str">
        <f>Descarte!T14</f>
        <v>Alta</v>
      </c>
      <c r="V73" s="142" t="str">
        <f>IF(Descarte!U14=0.5,"",Descarte!U14)</f>
        <v/>
      </c>
      <c r="W73" s="142" t="str">
        <f>IF(Descarte!V14=0.5,"",Descarte!V14)</f>
        <v/>
      </c>
      <c r="X73" s="142" t="str">
        <f>IF(Descarte!W14=0.5,"",Descarte!W14)</f>
        <v/>
      </c>
      <c r="Y73" s="142" t="str">
        <f>IF(Descarte!X14=0.5,"",Descarte!X14)</f>
        <v/>
      </c>
      <c r="Z73" s="142" t="str">
        <f>IF(Descarte!Y14=0.5,"",Descarte!Y14)</f>
        <v/>
      </c>
      <c r="AA73" s="178" t="str">
        <f ca="1">Descarte!Z14</f>
        <v>Finalizado</v>
      </c>
      <c r="AB73" s="172" t="str">
        <f>Descarte!AA14</f>
        <v>Melhor Prática</v>
      </c>
      <c r="AC73" s="175">
        <f>Descarte!AB14</f>
        <v>5.0000000000000001E-3</v>
      </c>
      <c r="AD73" s="175">
        <f>Descarte!AC14</f>
        <v>1.1764705882352942</v>
      </c>
      <c r="AE73" s="140">
        <f>Descarte!AD14</f>
        <v>3</v>
      </c>
      <c r="AF73" s="140">
        <f>Descarte!AE14</f>
        <v>3</v>
      </c>
      <c r="AG73" s="140">
        <f>Descarte!AF14</f>
        <v>3</v>
      </c>
      <c r="AH73" s="140">
        <f>Descarte!AG14</f>
        <v>3</v>
      </c>
      <c r="AI73" s="187" t="str">
        <f>IF('Descarte 5'!E16=0,"",'Descarte 5'!E16)</f>
        <v>NBC</v>
      </c>
      <c r="AJ73" s="187" t="str">
        <f>IF('Descarte 5'!F16=0,"",'Descarte 5'!F16)</f>
        <v/>
      </c>
      <c r="AK73" s="187" t="str">
        <f>IF('Descarte 5'!G16=0,"",'Descarte 5'!G16)</f>
        <v/>
      </c>
      <c r="AL73" s="187" t="str">
        <f>IF('Descarte 5'!H16=0,"",'Descarte 5'!H16)</f>
        <v/>
      </c>
      <c r="AM73" s="187" t="str">
        <f>IF('Descarte 5'!I16=0,"",'Descarte 5'!I16)</f>
        <v/>
      </c>
      <c r="AN73" s="98">
        <f t="shared" si="7"/>
        <v>1.5000000000000005E-3</v>
      </c>
      <c r="AO73" s="98">
        <f t="shared" si="8"/>
        <v>7.5000000000000067E-4</v>
      </c>
      <c r="AQ73" s="184" t="b">
        <f t="shared" si="3"/>
        <v>1</v>
      </c>
      <c r="AR73" s="184" t="b">
        <f t="shared" si="3"/>
        <v>1</v>
      </c>
      <c r="AS73" s="184" t="b">
        <f t="shared" si="3"/>
        <v>1</v>
      </c>
      <c r="AT73" s="184" t="b">
        <f t="shared" si="3"/>
        <v>1</v>
      </c>
      <c r="AU73" s="188" t="str">
        <f t="shared" si="4"/>
        <v>5.</v>
      </c>
      <c r="AV73" s="184" t="str">
        <f t="shared" si="5"/>
        <v>Política de descarte de equipamentos</v>
      </c>
      <c r="AW73" s="189">
        <f t="shared" si="6"/>
        <v>5.0000000000000001E-3</v>
      </c>
    </row>
    <row r="74" spans="1:50" ht="18.75" x14ac:dyDescent="0.3">
      <c r="A74" s="1"/>
      <c r="B74" s="1"/>
      <c r="C74" s="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row>
    <row r="75" spans="1:50" ht="11.25" customHeight="1" x14ac:dyDescent="0.25">
      <c r="A75" s="1"/>
      <c r="B75" s="82"/>
      <c r="C75" s="82"/>
      <c r="D75" s="246" t="s">
        <v>10</v>
      </c>
      <c r="E75" s="246"/>
      <c r="F75" s="247">
        <f>SUM(F10:F73)</f>
        <v>1.0000000000000007</v>
      </c>
      <c r="G75" s="248"/>
      <c r="H75" s="250">
        <f>SUM(H10:H73)</f>
        <v>0.31025000000000014</v>
      </c>
      <c r="I75" s="89"/>
      <c r="J75" s="89"/>
      <c r="K75" s="89"/>
      <c r="L75" s="89"/>
      <c r="M75" s="83"/>
      <c r="N75" s="252">
        <f>SUM(N10:N73)</f>
        <v>0.78625</v>
      </c>
      <c r="O75" s="254" t="str">
        <f>IFERROR(#REF!/N75,"")</f>
        <v/>
      </c>
      <c r="P75" s="90"/>
      <c r="Q75" s="90"/>
      <c r="R75" s="90"/>
      <c r="S75" s="90"/>
      <c r="T75" s="90"/>
      <c r="U75" s="90"/>
      <c r="V75" s="90"/>
      <c r="W75" s="90"/>
      <c r="X75" s="90"/>
      <c r="Y75" s="90"/>
      <c r="Z75" s="90"/>
      <c r="AA75" s="84"/>
      <c r="AB75" s="85"/>
      <c r="AC75" s="256">
        <f>SUM(AC10:AC73)</f>
        <v>0.69100000000000017</v>
      </c>
      <c r="AD75" s="258">
        <f>IFERROR(N75/AC75,"")</f>
        <v>1.1378437047756871</v>
      </c>
      <c r="AE75" s="245"/>
      <c r="AF75" s="245"/>
      <c r="AG75" s="245"/>
      <c r="AH75" s="245"/>
      <c r="AI75" s="185"/>
      <c r="AJ75" s="185"/>
      <c r="AK75" s="185"/>
      <c r="AL75" s="185"/>
      <c r="AM75" s="185"/>
    </row>
    <row r="76" spans="1:50" ht="24" x14ac:dyDescent="0.25">
      <c r="A76" s="1"/>
      <c r="B76" s="82"/>
      <c r="C76" s="82"/>
      <c r="D76" s="246"/>
      <c r="E76" s="246"/>
      <c r="F76" s="247"/>
      <c r="G76" s="249"/>
      <c r="H76" s="251"/>
      <c r="I76" s="89"/>
      <c r="J76" s="89"/>
      <c r="K76" s="89"/>
      <c r="L76" s="89"/>
      <c r="M76" s="86"/>
      <c r="N76" s="253"/>
      <c r="O76" s="255"/>
      <c r="P76" s="90"/>
      <c r="Q76" s="90"/>
      <c r="R76" s="90"/>
      <c r="S76" s="90"/>
      <c r="T76" s="90"/>
      <c r="U76" s="90"/>
      <c r="V76" s="90"/>
      <c r="W76" s="90"/>
      <c r="X76" s="90"/>
      <c r="Y76" s="90"/>
      <c r="Z76" s="90"/>
      <c r="AA76" s="84"/>
      <c r="AB76" s="85"/>
      <c r="AC76" s="256"/>
      <c r="AD76" s="258"/>
      <c r="AE76" s="245"/>
      <c r="AF76" s="245"/>
      <c r="AG76" s="245"/>
      <c r="AH76" s="245"/>
      <c r="AI76" s="185"/>
      <c r="AJ76" s="185"/>
      <c r="AK76" s="185"/>
      <c r="AL76" s="185"/>
      <c r="AM76" s="185"/>
      <c r="AN76" s="98">
        <f>SUM(AN10:AN75)</f>
        <v>0.42975000000000013</v>
      </c>
      <c r="AX76" s="189"/>
    </row>
    <row r="77" spans="1:5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98"/>
    </row>
  </sheetData>
  <autoFilter ref="A9:AO73" xr:uid="{BDA0AAE1-CA89-44A5-B465-D49C3DE4048E}"/>
  <dataConsolidate/>
  <mergeCells count="57">
    <mergeCell ref="AD75:AD76"/>
    <mergeCell ref="AE75:AE76"/>
    <mergeCell ref="AF75:AF76"/>
    <mergeCell ref="AG75:AG76"/>
    <mergeCell ref="AH75:AH76"/>
    <mergeCell ref="AF7:AF8"/>
    <mergeCell ref="AG7:AG8"/>
    <mergeCell ref="AH7:AH8"/>
    <mergeCell ref="D75:E76"/>
    <mergeCell ref="F75:F76"/>
    <mergeCell ref="G75:G76"/>
    <mergeCell ref="H75:H76"/>
    <mergeCell ref="N75:N76"/>
    <mergeCell ref="O75:O76"/>
    <mergeCell ref="AC75:AC76"/>
    <mergeCell ref="Z7:Z8"/>
    <mergeCell ref="AA7:AA8"/>
    <mergeCell ref="AB7:AB8"/>
    <mergeCell ref="AC7:AC8"/>
    <mergeCell ref="AD7:AD8"/>
    <mergeCell ref="AE7:AE8"/>
    <mergeCell ref="Y7:Y8"/>
    <mergeCell ref="N7:N8"/>
    <mergeCell ref="O7:O8"/>
    <mergeCell ref="P7:P8"/>
    <mergeCell ref="Q7:Q8"/>
    <mergeCell ref="R7:R8"/>
    <mergeCell ref="S7:S8"/>
    <mergeCell ref="T7:T8"/>
    <mergeCell ref="U7:U8"/>
    <mergeCell ref="V7:V8"/>
    <mergeCell ref="W7:W8"/>
    <mergeCell ref="X7:X8"/>
    <mergeCell ref="M7:M8"/>
    <mergeCell ref="B7:B8"/>
    <mergeCell ref="C7:C8"/>
    <mergeCell ref="D7:D8"/>
    <mergeCell ref="E7:E8"/>
    <mergeCell ref="F7:F8"/>
    <mergeCell ref="G7:G8"/>
    <mergeCell ref="H7:H8"/>
    <mergeCell ref="I7:I8"/>
    <mergeCell ref="J7:J8"/>
    <mergeCell ref="K7:K8"/>
    <mergeCell ref="L7:L8"/>
    <mergeCell ref="D2:E2"/>
    <mergeCell ref="D3:E3"/>
    <mergeCell ref="G3:AF3"/>
    <mergeCell ref="B5:E5"/>
    <mergeCell ref="G5:K5"/>
    <mergeCell ref="M5:N5"/>
    <mergeCell ref="AA5:AB5"/>
    <mergeCell ref="AI7:AI8"/>
    <mergeCell ref="AJ7:AJ8"/>
    <mergeCell ref="AK7:AK8"/>
    <mergeCell ref="AL7:AL8"/>
    <mergeCell ref="AM7:AM8"/>
  </mergeCells>
  <conditionalFormatting sqref="I10:L73">
    <cfRule type="iconSet" priority="42">
      <iconSet showValue="0">
        <cfvo type="percent" val="0"/>
        <cfvo type="num" val="2"/>
        <cfvo type="num" val="3"/>
      </iconSet>
    </cfRule>
  </conditionalFormatting>
  <conditionalFormatting sqref="I26:L30">
    <cfRule type="iconSet" priority="33">
      <iconSet showValue="0">
        <cfvo type="percent" val="0"/>
        <cfvo type="num" val="2"/>
        <cfvo type="num" val="3"/>
      </iconSet>
    </cfRule>
  </conditionalFormatting>
  <conditionalFormatting sqref="I31:L43">
    <cfRule type="iconSet" priority="24">
      <iconSet showValue="0">
        <cfvo type="percent" val="0"/>
        <cfvo type="num" val="2"/>
        <cfvo type="num" val="3"/>
      </iconSet>
    </cfRule>
  </conditionalFormatting>
  <conditionalFormatting sqref="O10:O25">
    <cfRule type="dataBar" priority="44">
      <dataBar showValue="0">
        <cfvo type="min"/>
        <cfvo type="max"/>
        <color rgb="FF63C384"/>
      </dataBar>
      <extLst>
        <ext xmlns:x14="http://schemas.microsoft.com/office/spreadsheetml/2009/9/main" uri="{B025F937-C7B1-47D3-B67F-A62EFF666E3E}">
          <x14:id>{B25E0623-2038-4F9B-97CA-F5EE7C9D6C34}</x14:id>
        </ext>
      </extLst>
    </cfRule>
  </conditionalFormatting>
  <conditionalFormatting sqref="O26:O30">
    <cfRule type="dataBar" priority="35">
      <dataBar showValue="0">
        <cfvo type="min"/>
        <cfvo type="max"/>
        <color rgb="FF63C384"/>
      </dataBar>
      <extLst>
        <ext xmlns:x14="http://schemas.microsoft.com/office/spreadsheetml/2009/9/main" uri="{B025F937-C7B1-47D3-B67F-A62EFF666E3E}">
          <x14:id>{52FA26D3-9474-4767-B9E0-CA5AC68AB0E7}</x14:id>
        </ext>
      </extLst>
    </cfRule>
  </conditionalFormatting>
  <conditionalFormatting sqref="O31:O43">
    <cfRule type="dataBar" priority="26">
      <dataBar showValue="0">
        <cfvo type="min"/>
        <cfvo type="max"/>
        <color rgb="FF63C384"/>
      </dataBar>
      <extLst>
        <ext xmlns:x14="http://schemas.microsoft.com/office/spreadsheetml/2009/9/main" uri="{B025F937-C7B1-47D3-B67F-A62EFF666E3E}">
          <x14:id>{FA37CE63-5CE9-482D-B0AF-6D2D69986322}</x14:id>
        </ext>
      </extLst>
    </cfRule>
  </conditionalFormatting>
  <conditionalFormatting sqref="P10:S25">
    <cfRule type="iconSet" priority="40">
      <iconSet showValue="0">
        <cfvo type="percent" val="0"/>
        <cfvo type="num" val="2"/>
        <cfvo type="num" val="3"/>
      </iconSet>
    </cfRule>
  </conditionalFormatting>
  <conditionalFormatting sqref="P26:S30">
    <cfRule type="iconSet" priority="31">
      <iconSet showValue="0">
        <cfvo type="percent" val="0"/>
        <cfvo type="num" val="2"/>
        <cfvo type="num" val="3"/>
      </iconSet>
    </cfRule>
  </conditionalFormatting>
  <conditionalFormatting sqref="P31:S43">
    <cfRule type="iconSet" priority="22">
      <iconSet showValue="0">
        <cfvo type="percent" val="0"/>
        <cfvo type="num" val="2"/>
        <cfvo type="num" val="3"/>
      </iconSet>
    </cfRule>
  </conditionalFormatting>
  <conditionalFormatting sqref="V10:Z73">
    <cfRule type="cellIs" dxfId="1061" priority="9" operator="equal">
      <formula>2</formula>
    </cfRule>
    <cfRule type="cellIs" dxfId="1060" priority="10" operator="equal">
      <formula>1</formula>
    </cfRule>
    <cfRule type="cellIs" dxfId="1059" priority="11" operator="equal">
      <formula>0</formula>
    </cfRule>
  </conditionalFormatting>
  <conditionalFormatting sqref="AD10:AD73">
    <cfRule type="dataBar" priority="43">
      <dataBar showValue="0">
        <cfvo type="min"/>
        <cfvo type="max"/>
        <color theme="6" tint="0.39997558519241921"/>
      </dataBar>
      <extLst>
        <ext xmlns:x14="http://schemas.microsoft.com/office/spreadsheetml/2009/9/main" uri="{B025F937-C7B1-47D3-B67F-A62EFF666E3E}">
          <x14:id>{FCDDD84F-EA4A-4A0A-B7E0-A690C70AA195}</x14:id>
        </ext>
      </extLst>
    </cfRule>
  </conditionalFormatting>
  <conditionalFormatting sqref="AE10:AH73">
    <cfRule type="iconSet" priority="41">
      <iconSet showValue="0">
        <cfvo type="percent" val="0"/>
        <cfvo type="num" val="2"/>
        <cfvo type="num" val="3"/>
      </iconSet>
    </cfRule>
  </conditionalFormatting>
  <conditionalFormatting sqref="AI11:AM25">
    <cfRule type="iconSet" priority="7">
      <iconSet showValue="0">
        <cfvo type="percent" val="0"/>
        <cfvo type="num" val="2"/>
        <cfvo type="num" val="3"/>
      </iconSet>
    </cfRule>
  </conditionalFormatting>
  <conditionalFormatting sqref="AI26:AM30">
    <cfRule type="iconSet" priority="6">
      <iconSet showValue="0">
        <cfvo type="percent" val="0"/>
        <cfvo type="num" val="2"/>
        <cfvo type="num" val="3"/>
      </iconSet>
    </cfRule>
  </conditionalFormatting>
  <conditionalFormatting sqref="AI31:AM43">
    <cfRule type="iconSet" priority="5">
      <iconSet showValue="0">
        <cfvo type="percent" val="0"/>
        <cfvo type="num" val="2"/>
        <cfvo type="num" val="3"/>
      </iconSet>
    </cfRule>
  </conditionalFormatting>
  <conditionalFormatting sqref="AJ10">
    <cfRule type="iconSet" priority="4">
      <iconSet showValue="0">
        <cfvo type="percent" val="0"/>
        <cfvo type="num" val="2"/>
        <cfvo type="num" val="3"/>
      </iconSet>
    </cfRule>
  </conditionalFormatting>
  <conditionalFormatting sqref="AK10">
    <cfRule type="iconSet" priority="3">
      <iconSet showValue="0">
        <cfvo type="percent" val="0"/>
        <cfvo type="num" val="2"/>
        <cfvo type="num" val="3"/>
      </iconSet>
    </cfRule>
  </conditionalFormatting>
  <conditionalFormatting sqref="AL10">
    <cfRule type="iconSet" priority="2">
      <iconSet showValue="0">
        <cfvo type="percent" val="0"/>
        <cfvo type="num" val="2"/>
        <cfvo type="num" val="3"/>
      </iconSet>
    </cfRule>
  </conditionalFormatting>
  <conditionalFormatting sqref="AM10">
    <cfRule type="iconSet" priority="1">
      <iconSet showValue="0">
        <cfvo type="percent" val="0"/>
        <cfvo type="num" val="2"/>
        <cfvo type="num" val="3"/>
      </iconSet>
    </cfRule>
  </conditionalFormatting>
  <conditionalFormatting sqref="AQ10:AT73 AV10:AV73">
    <cfRule type="cellIs" dxfId="1058" priority="8" operator="equal">
      <formula>FALSE</formula>
    </cfRule>
  </conditionalFormatting>
  <hyperlinks>
    <hyperlink ref="E10" location="'Estrategia 1'!A1" display="Misión y visión" xr:uid="{6A31248B-9110-4B0E-A714-D89815C4ECFF}"/>
    <hyperlink ref="E11" location="'Estrategia 2'!A1" display="Catálogo de equipos" xr:uid="{AAA6CE2A-A870-4CC9-8CDF-70C5C8FEDBBC}"/>
    <hyperlink ref="E12" location="'Estrategia 3'!A1" display="Fotografía de éxito" xr:uid="{B7B1862E-CCA1-4902-AC5C-39210B765E71}"/>
    <hyperlink ref="E13" location="'Estrategia 4'!A1" display="Planograma" xr:uid="{6E411A73-8D47-4DBE-9682-360BE1120CA5}"/>
    <hyperlink ref="E14" location="'Estrategia 5'!A1" display="Planificación hacia full potential" xr:uid="{4BDB25DE-30C4-46E1-822B-05F53436C310}"/>
    <hyperlink ref="E15" location="'Estrategia 6'!A1" display="Gestión P&amp;L del Área de EDF" xr:uid="{E72407F4-94DF-48EC-8EAA-9D37C9424836}"/>
    <hyperlink ref="E16" location="'Estrategia 7'!A1" display="Visita al mercado" xr:uid="{E79313AB-ADA0-4E94-884B-ED27EB4DF8E7}"/>
    <hyperlink ref="E17" location="'Estrategia 8'!A1" display="Rutinas de innovaciones " xr:uid="{94774847-D2AA-4D2B-ADB2-7C3C87CBB713}"/>
    <hyperlink ref="E18" location="'Estrategia 9'!A1" display="Satisfacción del cliente " xr:uid="{93FA4FF6-575B-4970-A749-EA03519BE454}"/>
    <hyperlink ref="E19" location="'Estrategia 10'!A1" display="Rutina de visita al mercado" xr:uid="{B52A9F9D-D7A3-4623-B030-CBA1D3DB32FC}"/>
    <hyperlink ref="E20" location="'Estrategia 11'!A1" display="Estrategia de conectividad" xr:uid="{699E2C7E-11E7-4334-907E-58E89C003CF3}"/>
    <hyperlink ref="E21" location="'Estrategia 12'!A1" display="Estrategia de sustentabilidad" xr:uid="{AEA003F3-25E5-4DA2-973F-2A02C5480909}"/>
    <hyperlink ref="E22" location="'Estrategia 13'!A1" display="Certificación E2E" xr:uid="{F6DA379F-6682-489D-BC34-40AF3987C320}"/>
    <hyperlink ref="E23" location="'Estrategia 14'!A1" display="Compromiso con el Programa E2E" xr:uid="{F6A44461-DF01-434D-8FB7-A0BABE0FD081}"/>
    <hyperlink ref="E24" location="'Estrategia 15'!A1" display="Savings del Programa E2E" xr:uid="{AE1D3D2E-CD7B-4888-ACC3-34DA63D5819C}"/>
    <hyperlink ref="E25" location="'Estrategia 16'!A1" display="Business review del Área de EDF" xr:uid="{F5EF07DD-7B89-4AFF-8B2D-37EF11456933}"/>
    <hyperlink ref="E26" location="'Adquisición 1'!A1" display="Plan de inversión" xr:uid="{1CBD3E19-EC86-46BF-8513-6636960C195A}"/>
    <hyperlink ref="E27" location="'Adquisición 2'!A1" display="Gestión de llegadas y stock de equipos" xr:uid="{FC0C268A-4697-4602-ADF5-7A5DF490602D}"/>
    <hyperlink ref="E28" location="'Adquisición 3'!A1" display="SLA de Proveedores" xr:uid="{51EC7378-405C-4CBF-B77B-A4A31F6703FE}"/>
    <hyperlink ref="E29" location="'Adquisición 4'!A1" display="TCO" xr:uid="{B47BFE73-77B6-4682-9112-53C71AADDC54}"/>
    <hyperlink ref="E30" location="'Adquisición 5'!A1" display="Colaboración con CEPG" xr:uid="{0D85C6E6-6981-40C3-B151-2B3AFC35A13D}"/>
    <hyperlink ref="E31" location="'Control 1'!A1" display="Control de movimientos y stock de EDF" xr:uid="{BBB084F4-62B1-4D95-8A5F-016993007162}"/>
    <hyperlink ref="E32" location="'Control 2'!A1" display="Política de almacenamiento" xr:uid="{31100B3B-5E05-4C3B-94C3-65F09C3F993C}"/>
    <hyperlink ref="E33" location="'Control 3'!A1" display="Programa de calidad" xr:uid="{66E986E7-1769-43A1-90C2-A6E5CC611392}"/>
    <hyperlink ref="E34" location="'Control 4'!A1" display="Transporte del equipo" xr:uid="{57A870DB-12F5-402B-9E4E-8F5424BF7974}"/>
    <hyperlink ref="E35" location="'Control 5'!A1" display="Optimización de equipos en bodega" xr:uid="{6AC3AE0A-4379-476B-A5D5-35EF97E13405}"/>
    <hyperlink ref="E36" location="'Control 6'!A1" display="Prevención de movimientos irregulares" xr:uid="{67BB7BA8-E74E-4692-BB62-D57B8C68435A}"/>
    <hyperlink ref="E37" location="'Control 7'!A1" display="Refuerzo de los términos contractuales acordados" xr:uid="{BED0EF2A-9B47-4FED-B8A8-9465E858C52F}"/>
    <hyperlink ref="E38" location="'Control 8'!A1" display="Monitoreo de equipo con venta cero" xr:uid="{789C97F8-AAC4-4770-ADE6-CA72BC691C79}"/>
    <hyperlink ref="E39" location="'Control 9'!A1" display="Validación de equipos en el mercado" xr:uid="{D42A3C7A-E29E-46B7-9846-EC4DFE25DAF5}"/>
    <hyperlink ref="E40" location="'Control 10'!A1" display="Censo de equipos" xr:uid="{A8FE4767-58CC-48CC-B1BF-EC013812ABF8}"/>
    <hyperlink ref="E41" location="'Control 11'!A1" display="Gestión de recupero legal" xr:uid="{9F2FD482-BC89-4000-992D-9E3B446677C9}"/>
    <hyperlink ref="E42" location="'Control 12'!A1" display="Conectividad para control" xr:uid="{489D7AEC-B627-40CA-AB5F-B579C889B0F9}"/>
    <hyperlink ref="E43" location="'Control 13'!A1" display="Política de control de equipos" xr:uid="{4BBDA3A1-A389-49E0-9A99-F58834D9ABBB}"/>
    <hyperlink ref="E69" location="'Descarte 1'!A1" display="Control de movimientos y stock de EDF" xr:uid="{38C66D1F-AED7-4A61-95AB-C52ABDD1AD21}"/>
    <hyperlink ref="D69" location="'Descarte 1'!A1" display="1." xr:uid="{34B60BF6-7DDA-41E6-BAF5-0421BC115AEB}"/>
    <hyperlink ref="D70" location="'Descarte 2'!A1" display="2." xr:uid="{E1E7A105-1FE6-4B4A-BDF0-D07931F68502}"/>
    <hyperlink ref="E70" location="'Descarte 2'!A1" display="Aprobación y segregación del descarte" xr:uid="{996ACA45-AF36-46A2-82BF-08B1074EADD7}"/>
    <hyperlink ref="D71" location="'Descarte 3'!A1" display="3." xr:uid="{B19260B7-3635-41C4-8D4B-1E3A80C90808}"/>
    <hyperlink ref="E71" location="'Descarte 3'!A1" display="Análisis del descarte" xr:uid="{10CE55DA-BCC0-4E40-87C8-95482C6455CE}"/>
    <hyperlink ref="D72" location="'Descarte 4'!A1" display="4." xr:uid="{42B1A20E-F9A9-4B1E-9FE4-4C5945F2D471}"/>
    <hyperlink ref="E72" location="'Descarte 4'!A1" display="Sustentabilidad para descarte" xr:uid="{38CFA494-88B4-4C67-BAFF-EEC4D88F3818}"/>
    <hyperlink ref="D73" location="'Descarte 5'!A1" display="5." xr:uid="{DA5867E0-9512-4414-8084-A7AE953D64C5}"/>
    <hyperlink ref="E73" location="'Descarte 5'!A1" display="Política de descarte de equipos" xr:uid="{5AD89C25-7339-4502-A5CF-9EBB6138421E}"/>
    <hyperlink ref="D44" location="'Mercado 1'!A1" display="1." xr:uid="{42AE7E92-6D5D-4D2E-A881-78C890C62BF7}"/>
    <hyperlink ref="E44" location="'Mercado 1'!A1" display="Procesamiento de pedido de instalación y retiro" xr:uid="{C73DED46-82F0-442B-BD03-F31D47C9480B}"/>
    <hyperlink ref="D45" location="'Mercado 2'!A1" display="2." xr:uid="{58C5D287-1F82-4ACC-A8BD-E0F8D485BA03}"/>
    <hyperlink ref="E45" location="'Mercado 2'!A1" display="Calidad del servicio de instalación" xr:uid="{DDA3EC86-F9E9-4578-AE02-CD62F83EF027}"/>
    <hyperlink ref="D46" location="'Mercado 3'!A1" display="3." xr:uid="{9EFFF634-997C-497B-B445-69992F541F32}"/>
    <hyperlink ref="E46" location="'Mercado 3'!A1" display="Optimización de retiros" xr:uid="{9CFAA262-ED66-49DD-BBAA-6B360487495A}"/>
    <hyperlink ref="D47" location="'Estrategia 4'!A1" display="4." xr:uid="{3C8FC73D-D3F0-44FD-951C-E13AF4D9BF1A}"/>
    <hyperlink ref="E47" location="'Mercado 4'!A1" display="Tracking de SLA de instalación" xr:uid="{35C3333F-6368-4DAC-8DC5-CA8388845403}"/>
    <hyperlink ref="D48" location="'Mercado 5'!A1" display="5." xr:uid="{B7F92C6E-D993-43C8-A7A8-CCF9705263BC}"/>
    <hyperlink ref="E48" location="'Mercado 5'!A1" display="Tracking de SLA de retiro" xr:uid="{1C87CD68-DEFD-4AF8-A630-0576F1DC7A78}"/>
    <hyperlink ref="D49" location="'Mercado 6'!A1" display="6." xr:uid="{6BD2CFD2-BED4-4B90-9C30-72EF002F50D2}"/>
    <hyperlink ref="E49" location="'Mercado 6'!A1" display="Análisis de motivos de movimiento" xr:uid="{A561A970-3261-4383-8CDC-A20FD7112F2E}"/>
    <hyperlink ref="D50" location="'Mercado 7'!A1" display="7." xr:uid="{874E176C-935A-4A86-861D-86D21A52FEEF}"/>
    <hyperlink ref="E50" location="'Mercado 7'!A1" display="Gestión de la lista foco" xr:uid="{C84E153A-E938-41FB-A2C4-DDD13172E8FD}"/>
    <hyperlink ref="D51" location="'Mercado 8'!A1" display="8." xr:uid="{FBDF42B9-7808-4878-9575-EB1C30D9BC42}"/>
    <hyperlink ref="E51" location="'Mercado 8'!A1" display="Metas de instalación (nuevos y usados)" xr:uid="{95BAA464-8F1A-47A6-BEBF-5F4B2D8B7B5F}"/>
    <hyperlink ref="D52" location="'Mercado 9'!A1" display="9." xr:uid="{CEA1F359-6670-452B-95BE-265FD95902E9}"/>
    <hyperlink ref="E52" location="'Mercado 9'!A1" display="Negociación de equipos" xr:uid="{94B94873-8166-45C9-BE15-778280BE028B}"/>
    <hyperlink ref="D53" location="'Mercado 10'!A1" display="10." xr:uid="{CA749D71-D82A-4340-A8A2-3F15807E87FB}"/>
    <hyperlink ref="E53" location="'Mercado 10'!A1" display="Atractividad" xr:uid="{869AA181-FF65-4521-8D57-85C32ADF4698}"/>
    <hyperlink ref="D54" location="'Mercado 11'!A1" display="11." xr:uid="{BEA5C951-5E5E-4BD9-9C41-5D26BE47A78C}"/>
    <hyperlink ref="E54" location="'Mercado 11'!A1" display="Inteligencia de mercado" xr:uid="{C5305324-5343-49EC-8010-AF07694B2464}"/>
    <hyperlink ref="D55" location="'Mercado 12'!A1" display="12." xr:uid="{E1D82761-28B5-4BDF-AAC8-6F6D040145B8}"/>
    <hyperlink ref="E55" location="'Mercado 12'!A1" display="Gestión de equipos del cliente" xr:uid="{6319E4D0-ABF4-4A1D-8C64-F946EF4F4B5A}"/>
    <hyperlink ref="D56" location="'Mercado 13'!A1" display="13." xr:uid="{EF806FF9-AA43-4373-AE66-04E015826270}"/>
    <hyperlink ref="E56" location="'Mercado 13'!A1" display="Política de inversión de Stills" xr:uid="{079BE11E-F9E7-4778-96FA-DF309CF312FE}"/>
    <hyperlink ref="D57" location="'Mercado 14'!A1" display="14." xr:uid="{CE81067C-512A-4844-87BA-A992674099D9}"/>
    <hyperlink ref="E57" location="'Mercado 14'!A1" display="Conectividad para mercado" xr:uid="{7A3AD2C5-9888-4BD0-9325-DB07E2B5138B}"/>
    <hyperlink ref="D58" location="'Mercado 15'!A1" display="15." xr:uid="{95E4E284-450C-4DD7-81D7-D8168BCB1B10}"/>
    <hyperlink ref="E58" location="'Mercado 15'!A1" display="Sustentabilidad en el mercado" xr:uid="{1EEDAA2E-5285-4A4B-9026-39C25E860457}"/>
    <hyperlink ref="D59" location="'Mantenimiento 1'!A1" display="1." xr:uid="{DC7BDA3F-9105-4E17-BF74-0588B0D22CF0}"/>
    <hyperlink ref="E59" location="'Mantenimiento 1'!A1" display="Procesamiento del pedido de mantenimiento" xr:uid="{B75CB964-4532-47E2-BD17-315362348EDF}"/>
    <hyperlink ref="D60" location="'Mantenimiento 2'!A1" display="2." xr:uid="{C2A6B46D-9087-45A1-AE0A-763CAA015BD3}"/>
    <hyperlink ref="E60" location="'Mantenimiento 2'!A1" display="Solución remota" xr:uid="{7A99EB85-2C7A-4D92-B50C-E46ED755E50F}"/>
    <hyperlink ref="D61" location="'Mantenimiento 3'!A1" display="3." xr:uid="{B99091ED-9BF9-4BA2-8B75-2705B71EABEC}"/>
    <hyperlink ref="E61" location="'Mantenimiento 3'!A1" display="Calidad de los servicios en el PDV" xr:uid="{3EADBBCA-288C-4AD1-9F87-5F5588CB1E96}"/>
    <hyperlink ref="D62" location="'Mantenimiento 4'!A1" display="4." xr:uid="{03D9CFC4-8CA4-4D3E-B540-2EB5C3E02239}"/>
    <hyperlink ref="E62" location="'Mantenimiento 4'!A1" display="Calidad de los servicios en el taller" xr:uid="{28F824B4-49FA-4FB8-AFA2-F85810D2EEB8}"/>
    <hyperlink ref="D63" location="'Mantenimiento 5'!A1" display="5." xr:uid="{2EA27BCA-5D82-4234-8B87-BDEF183E64C1}"/>
    <hyperlink ref="E63" location="'Mantenimiento 5'!A1" display="Tracking de SLA de mantenimiento" xr:uid="{B2E24B50-B65B-45AF-8E16-30F8E3213A95}"/>
    <hyperlink ref="D64" location="'Mantenimiento 6'!A1" display="6." xr:uid="{5FB900C7-465B-4BE2-9217-F019D1CBAFA2}"/>
    <hyperlink ref="E64" location="'Mantenimiento 6'!A1" display="Análisis de motivos de mantenimiento" xr:uid="{FD77642F-3264-4583-B9E9-D47CE16005A3}"/>
    <hyperlink ref="D65" location="'Mantenimiento 7'!A1" display="7." xr:uid="{E80A5D7E-5E3C-4EAD-8CDC-B04820BF1AB7}"/>
    <hyperlink ref="E65" location="'Mantenimiento 7'!A1" display="Productividad y capacitación de los técnicos" xr:uid="{3FA16F97-7492-49CC-9F85-AD877C6AC5E2}"/>
    <hyperlink ref="D66" location="'Mantenimiento 8'!A1" display="8." xr:uid="{68E29D22-08FA-49C3-BDE1-8E231B50E1C9}"/>
    <hyperlink ref="E66" location="'Mantenimiento 8'!A1" display="Mantenimiento de piezas de repuesto" xr:uid="{F654F047-A6CE-421B-89FF-C8FAD08D0BFD}"/>
    <hyperlink ref="D67" location="'Mantenimiento 9'!A1" display="9." xr:uid="{4CF67FDB-BFF3-443E-9040-92B529A29600}"/>
    <hyperlink ref="E67" location="'Mantenimiento 9'!A1" display="Gestión de garantía de los proveedores" xr:uid="{A3846503-0FD8-4FEE-9CDF-6D8D858D7FFA}"/>
    <hyperlink ref="D68" location="'Mantenimiento 10'!A1" display="10." xr:uid="{F9C1481C-668B-4A53-AB49-3367D30DC655}"/>
    <hyperlink ref="E68" location="'Mantenimiento 10'!A1" display="Conectividad para mantenimiento" xr:uid="{BF0C2923-3E5B-44B1-8920-63595C6A73CE}"/>
  </hyperlinks>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dataBar" id="{B25E0623-2038-4F9B-97CA-F5EE7C9D6C34}">
            <x14:dataBar minLength="0" maxLength="100">
              <x14:cfvo type="autoMin"/>
              <x14:cfvo type="autoMax"/>
              <x14:negativeFillColor rgb="FFFF0000"/>
              <x14:axisColor rgb="FF000000"/>
            </x14:dataBar>
          </x14:cfRule>
          <xm:sqref>O10:O25</xm:sqref>
        </x14:conditionalFormatting>
        <x14:conditionalFormatting xmlns:xm="http://schemas.microsoft.com/office/excel/2006/main">
          <x14:cfRule type="dataBar" id="{52FA26D3-9474-4767-B9E0-CA5AC68AB0E7}">
            <x14:dataBar minLength="0" maxLength="100">
              <x14:cfvo type="autoMin"/>
              <x14:cfvo type="autoMax"/>
              <x14:negativeFillColor rgb="FFFF0000"/>
              <x14:axisColor rgb="FF000000"/>
            </x14:dataBar>
          </x14:cfRule>
          <xm:sqref>O26:O30</xm:sqref>
        </x14:conditionalFormatting>
        <x14:conditionalFormatting xmlns:xm="http://schemas.microsoft.com/office/excel/2006/main">
          <x14:cfRule type="dataBar" id="{FA37CE63-5CE9-482D-B0AF-6D2D69986322}">
            <x14:dataBar minLength="0" maxLength="100">
              <x14:cfvo type="autoMin"/>
              <x14:cfvo type="autoMax"/>
              <x14:negativeFillColor rgb="FFFF0000"/>
              <x14:axisColor rgb="FF000000"/>
            </x14:dataBar>
          </x14:cfRule>
          <xm:sqref>O31:O43</xm:sqref>
        </x14:conditionalFormatting>
        <x14:conditionalFormatting xmlns:xm="http://schemas.microsoft.com/office/excel/2006/main">
          <x14:cfRule type="iconSet" priority="36" id="{82ADFBD8-DBFB-4CE4-9B7D-6D226A338D57}">
            <x14:iconSet iconSet="3Stars" showValue="0">
              <x14:cfvo type="percent">
                <xm:f>0</xm:f>
              </x14:cfvo>
              <x14:cfvo type="num">
                <xm:f>2</xm:f>
              </x14:cfvo>
              <x14:cfvo type="num">
                <xm:f>3</xm:f>
              </x14:cfvo>
            </x14:iconSet>
          </x14:cfRule>
          <xm:sqref>T10:T25</xm:sqref>
        </x14:conditionalFormatting>
        <x14:conditionalFormatting xmlns:xm="http://schemas.microsoft.com/office/excel/2006/main">
          <x14:cfRule type="iconSet" priority="27" id="{804338F3-A591-4007-9040-ABBE2E98BC6C}">
            <x14:iconSet iconSet="3Stars" showValue="0">
              <x14:cfvo type="percent">
                <xm:f>0</xm:f>
              </x14:cfvo>
              <x14:cfvo type="num">
                <xm:f>2</xm:f>
              </x14:cfvo>
              <x14:cfvo type="num">
                <xm:f>3</xm:f>
              </x14:cfvo>
            </x14:iconSet>
          </x14:cfRule>
          <xm:sqref>T26:T30</xm:sqref>
        </x14:conditionalFormatting>
        <x14:conditionalFormatting xmlns:xm="http://schemas.microsoft.com/office/excel/2006/main">
          <x14:cfRule type="iconSet" priority="18" id="{712A0863-5539-4D3B-A12E-6AD39CBB5323}">
            <x14:iconSet iconSet="3Stars" showValue="0">
              <x14:cfvo type="percent">
                <xm:f>0</xm:f>
              </x14:cfvo>
              <x14:cfvo type="num">
                <xm:f>2</xm:f>
              </x14:cfvo>
              <x14:cfvo type="num">
                <xm:f>3</xm:f>
              </x14:cfvo>
            </x14:iconSet>
          </x14:cfRule>
          <xm:sqref>T31:T43</xm:sqref>
        </x14:conditionalFormatting>
        <x14:conditionalFormatting xmlns:xm="http://schemas.microsoft.com/office/excel/2006/main">
          <x14:cfRule type="dataBar" id="{FCDDD84F-EA4A-4A0A-B7E0-A690C70AA195}">
            <x14:dataBar minLength="0" maxLength="100">
              <x14:cfvo type="autoMin"/>
              <x14:cfvo type="autoMax"/>
              <x14:negativeFillColor rgb="FFFF0000"/>
              <x14:axisColor rgb="FF000000"/>
            </x14:dataBar>
          </x14:cfRule>
          <xm:sqref>AD10:AD73</xm:sqref>
        </x14:conditionalFormatting>
      </x14:conditionalFormatting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01CB0-11F0-4EAE-8642-BD5B4A755D32}">
  <sheetPr codeName="Planilha49"/>
  <dimension ref="A1:AB51"/>
  <sheetViews>
    <sheetView showGridLines="0" zoomScale="50" zoomScaleNormal="50" workbookViewId="0">
      <pane xSplit="3" ySplit="4" topLeftCell="D20"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759</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2</v>
      </c>
      <c r="G7" s="48">
        <f>IF($N$24&lt;&gt;"",IF($N$24=3,3,IF($N$24=2,2,1)),"")</f>
        <v>3</v>
      </c>
      <c r="H7" s="48">
        <f>IF($Q$24&lt;&gt;"",IF($Q$24=3,3,IF($Q$24=2,2,1)),"")</f>
        <v>3</v>
      </c>
      <c r="I7" s="48" t="str">
        <f>IF($T$24&lt;&gt;"",IF($T$24=3,3,IF($T$24=2,2,1)),"")</f>
        <v/>
      </c>
      <c r="J7" s="32"/>
      <c r="K7" s="49" t="s">
        <v>224</v>
      </c>
      <c r="L7" s="46" t="s">
        <v>225</v>
      </c>
      <c r="M7" s="267" t="s">
        <v>760</v>
      </c>
      <c r="N7" s="267"/>
      <c r="O7" s="267"/>
      <c r="P7" s="46" t="s">
        <v>227</v>
      </c>
      <c r="Q7" s="267" t="s">
        <v>761</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1.2749999999999999E-2</v>
      </c>
      <c r="F10" s="52" t="str">
        <f>IF(K20="D","D","-")</f>
        <v>D</v>
      </c>
      <c r="G10" s="52" t="str">
        <f>IF(N20="D","D","-")</f>
        <v>D</v>
      </c>
      <c r="H10" s="52" t="str">
        <f>IF(Q20="D","D","-")</f>
        <v>D</v>
      </c>
      <c r="I10" s="52" t="str">
        <f>IF(T20="D","D","-")</f>
        <v>-</v>
      </c>
      <c r="J10" s="32"/>
      <c r="K10" s="66" t="s">
        <v>230</v>
      </c>
      <c r="L10" s="50" t="s">
        <v>231</v>
      </c>
      <c r="M10" s="75">
        <v>2</v>
      </c>
      <c r="N10" s="50" t="s">
        <v>232</v>
      </c>
      <c r="O10" s="53" t="s">
        <v>302</v>
      </c>
      <c r="P10" s="50" t="s">
        <v>233</v>
      </c>
      <c r="Q10" s="92" t="s">
        <v>321</v>
      </c>
      <c r="R10" s="50" t="s">
        <v>235</v>
      </c>
      <c r="S10" s="92" t="s">
        <v>303</v>
      </c>
      <c r="T10" s="50" t="s">
        <v>237</v>
      </c>
      <c r="U10" s="53" t="s">
        <v>762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1.2749999999999999E-2</v>
      </c>
      <c r="F12" s="268">
        <f>IF($L$24&lt;&gt;"",IF($L$24=3,3,IF($L$24=2,2,1)),"")</f>
        <v>3</v>
      </c>
      <c r="G12" s="268">
        <f>IF($O$24&lt;&gt;"",IF($O$24=3,3,IF($O$24=2,2,1)),"")</f>
        <v>3</v>
      </c>
      <c r="H12" s="268">
        <f>IF($R$24&lt;&gt;"",IF($R$24=3,3,IF($R$24=2,2,1)),"")</f>
        <v>3</v>
      </c>
      <c r="I12" s="268" t="str">
        <f>IF($U$24&lt;&gt;"",IF($U$24=3,3,IF($U$24=2,2,1)),"")</f>
        <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390</v>
      </c>
      <c r="O14" s="266" t="s">
        <v>247</v>
      </c>
      <c r="P14" s="286" t="s">
        <v>323</v>
      </c>
      <c r="Q14" s="286"/>
      <c r="R14" s="265" t="s">
        <v>422</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763</v>
      </c>
      <c r="L18" s="264"/>
      <c r="M18" s="265"/>
      <c r="N18" s="266" t="s">
        <v>764</v>
      </c>
      <c r="O18" s="264"/>
      <c r="P18" s="265"/>
      <c r="Q18" s="266" t="s">
        <v>765</v>
      </c>
      <c r="R18" s="264"/>
      <c r="S18" s="265"/>
      <c r="T18" s="266" t="s">
        <v>766</v>
      </c>
      <c r="U18" s="264"/>
      <c r="V18" s="265"/>
      <c r="W18" s="9"/>
      <c r="X18" s="9"/>
      <c r="Y18" s="23"/>
    </row>
    <row r="19" spans="1:25" ht="141.75" customHeight="1" outlineLevel="2" x14ac:dyDescent="0.3">
      <c r="A19" s="1"/>
      <c r="B19" s="283"/>
      <c r="C19" s="283"/>
      <c r="D19" s="42" t="s">
        <v>257</v>
      </c>
      <c r="E19" s="307" t="s">
        <v>767</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t="s">
        <v>260</v>
      </c>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666</v>
      </c>
      <c r="L21" s="264"/>
      <c r="M21" s="265"/>
      <c r="N21" s="266" t="s">
        <v>624</v>
      </c>
      <c r="O21" s="264"/>
      <c r="P21" s="265"/>
      <c r="Q21" s="266" t="s">
        <v>329</v>
      </c>
      <c r="R21" s="264"/>
      <c r="S21" s="265"/>
      <c r="T21" s="266" t="s">
        <v>768</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2</v>
      </c>
      <c r="L24" s="40">
        <v>3</v>
      </c>
      <c r="M24" s="289"/>
      <c r="N24" s="56">
        <v>3</v>
      </c>
      <c r="O24" s="40">
        <v>3</v>
      </c>
      <c r="P24" s="289"/>
      <c r="Q24" s="56">
        <v>3</v>
      </c>
      <c r="R24" s="40">
        <v>3</v>
      </c>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c r="L26" s="45" t="s">
        <v>1166</v>
      </c>
      <c r="M26" s="289"/>
      <c r="N26" s="58" t="s">
        <v>769</v>
      </c>
      <c r="O26" s="45" t="s">
        <v>1167</v>
      </c>
      <c r="P26" s="289"/>
      <c r="Q26" s="58" t="s">
        <v>770</v>
      </c>
      <c r="R26" s="45" t="s">
        <v>1207</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447" priority="6" operator="containsText" text="Finalizado">
      <formula>NOT(ISERROR(SEARCH("Finalizado",D15)))</formula>
    </cfRule>
    <cfRule type="containsText" dxfId="446" priority="7" operator="containsText" text="No Planificado">
      <formula>NOT(ISERROR(SEARCH("No Planificado",D15)))</formula>
    </cfRule>
    <cfRule type="containsText" dxfId="445" priority="8" operator="containsText" text="A Tiempo">
      <formula>NOT(ISERROR(SEARCH("A Tiempo",D15)))</formula>
    </cfRule>
    <cfRule type="containsText" dxfId="444" priority="9" operator="containsText" text="Retrasado">
      <formula>NOT(ISERROR(SEARCH("Retrasado",D15)))</formula>
    </cfRule>
  </conditionalFormatting>
  <conditionalFormatting sqref="F7:F8">
    <cfRule type="iconSet" priority="13">
      <iconSet showValue="0">
        <cfvo type="percent" val="0"/>
        <cfvo type="num" val="2"/>
        <cfvo type="num" val="3"/>
      </iconSet>
    </cfRule>
  </conditionalFormatting>
  <conditionalFormatting sqref="F12 F14">
    <cfRule type="iconSet" priority="11">
      <iconSet showValue="0">
        <cfvo type="percent" val="0"/>
        <cfvo type="num" val="2"/>
        <cfvo type="num" val="3"/>
      </iconSet>
    </cfRule>
  </conditionalFormatting>
  <conditionalFormatting sqref="G7:I8">
    <cfRule type="iconSet" priority="12">
      <iconSet showValue="0">
        <cfvo type="percent" val="0"/>
        <cfvo type="num" val="2"/>
        <cfvo type="num" val="3"/>
      </iconSet>
    </cfRule>
  </conditionalFormatting>
  <conditionalFormatting sqref="G12:I12 G14:I14">
    <cfRule type="iconSet" priority="10">
      <iconSet showValue="0">
        <cfvo type="percent" val="0"/>
        <cfvo type="num" val="2"/>
        <cfvo type="num" val="3"/>
      </iconSet>
    </cfRule>
  </conditionalFormatting>
  <conditionalFormatting sqref="K24">
    <cfRule type="iconSet" priority="3">
      <iconSet showValue="0">
        <cfvo type="percent" val="0"/>
        <cfvo type="num" val="2"/>
        <cfvo type="num" val="3"/>
      </iconSet>
    </cfRule>
  </conditionalFormatting>
  <conditionalFormatting sqref="K25:L25">
    <cfRule type="containsText" dxfId="443" priority="24" operator="containsText" text="PENDIENTE">
      <formula>NOT(ISERROR(SEARCH("PENDIENTE",K25)))</formula>
    </cfRule>
    <cfRule type="containsText" dxfId="442" priority="25" operator="containsText" text="NO VALIDADO">
      <formula>NOT(ISERROR(SEARCH("NO VALIDADO",K25)))</formula>
    </cfRule>
    <cfRule type="containsText" dxfId="441" priority="26" operator="containsText" text="VALIDADO">
      <formula>NOT(ISERROR(SEARCH("VALIDADO",K25)))</formula>
    </cfRule>
  </conditionalFormatting>
  <conditionalFormatting sqref="L24 O24 R24 T24:U24">
    <cfRule type="iconSet" priority="14">
      <iconSet showValue="0">
        <cfvo type="percent" val="0"/>
        <cfvo type="num" val="2"/>
        <cfvo type="num" val="3"/>
      </iconSet>
    </cfRule>
  </conditionalFormatting>
  <conditionalFormatting sqref="N24">
    <cfRule type="iconSet" priority="2">
      <iconSet showValue="0">
        <cfvo type="percent" val="0"/>
        <cfvo type="num" val="2"/>
        <cfvo type="num" val="3"/>
      </iconSet>
    </cfRule>
  </conditionalFormatting>
  <conditionalFormatting sqref="N25:O25">
    <cfRule type="containsText" dxfId="440" priority="21" operator="containsText" text="PENDIENTE">
      <formula>NOT(ISERROR(SEARCH("PENDIENTE",N25)))</formula>
    </cfRule>
    <cfRule type="containsText" dxfId="439" priority="22" operator="containsText" text="NO VALIDADO">
      <formula>NOT(ISERROR(SEARCH("NO VALIDADO",N25)))</formula>
    </cfRule>
    <cfRule type="containsText" dxfId="438" priority="23" operator="containsText" text="VALIDADO">
      <formula>NOT(ISERROR(SEARCH("VALIDADO",N25)))</formula>
    </cfRule>
  </conditionalFormatting>
  <conditionalFormatting sqref="Q24">
    <cfRule type="iconSet" priority="1">
      <iconSet showValue="0">
        <cfvo type="percent" val="0"/>
        <cfvo type="num" val="2"/>
        <cfvo type="num" val="3"/>
      </iconSet>
    </cfRule>
  </conditionalFormatting>
  <conditionalFormatting sqref="Q25:R25">
    <cfRule type="containsText" dxfId="437" priority="18" operator="containsText" text="PENDIENTE">
      <formula>NOT(ISERROR(SEARCH("PENDIENTE",Q25)))</formula>
    </cfRule>
    <cfRule type="containsText" dxfId="436" priority="19" operator="containsText" text="NO VALIDADO">
      <formula>NOT(ISERROR(SEARCH("NO VALIDADO",Q25)))</formula>
    </cfRule>
    <cfRule type="containsText" dxfId="435" priority="20" operator="containsText" text="VALIDADO">
      <formula>NOT(ISERROR(SEARCH("VALIDADO",Q25)))</formula>
    </cfRule>
  </conditionalFormatting>
  <conditionalFormatting sqref="T25:U25">
    <cfRule type="containsText" dxfId="434" priority="15" operator="containsText" text="PENDIENTE">
      <formula>NOT(ISERROR(SEARCH("PENDIENTE",T25)))</formula>
    </cfRule>
    <cfRule type="containsText" dxfId="433" priority="16" operator="containsText" text="NO VALIDADO">
      <formula>NOT(ISERROR(SEARCH("NO VALIDADO",T25)))</formula>
    </cfRule>
    <cfRule type="containsText" dxfId="432" priority="17" operator="containsText" text="VALIDADO">
      <formula>NOT(ISERROR(SEARCH("VALIDADO",T25)))</formula>
    </cfRule>
  </conditionalFormatting>
  <dataValidations count="6">
    <dataValidation type="list" allowBlank="1" showInputMessage="1" showErrorMessage="1" sqref="D10" xr:uid="{CCB1D4B1-A14D-457F-9191-48AE41B33874}">
      <formula1>"No Cumple, Parcial,Cumple,Más que Cumple,Mejor Práctica"</formula1>
    </dataValidation>
    <dataValidation type="list" allowBlank="1" showInputMessage="1" showErrorMessage="1" sqref="S10 Q10" xr:uid="{F5BB1881-009D-49B7-8371-18C3D968AC6B}">
      <formula1>"Junio,Julio,Agosto,Septiembre,Octubre"</formula1>
    </dataValidation>
    <dataValidation type="list" allowBlank="1" showInputMessage="1" showErrorMessage="1" sqref="O10" xr:uid="{5412BB2F-03ED-43AF-A82B-4E9EECF96066}">
      <formula1>"Alta,Baja,No Planificado"</formula1>
    </dataValidation>
    <dataValidation type="list" allowBlank="1" showInputMessage="1" showErrorMessage="1" sqref="AB14:AB15 R14:R15 N14:N15 V14:V15" xr:uid="{72CB6D9F-ABC9-4C59-BF05-6352C12BF0D8}">
      <formula1>"No Cumple, Parcial, Cumple, Más que Cumple, Mejor Práctica"</formula1>
    </dataValidation>
    <dataValidation type="list" allowBlank="1" showInputMessage="1" showErrorMessage="1" sqref="M12 Q12 U12" xr:uid="{1C6EAFC2-7D7A-4105-A09D-1E3AA0263624}">
      <formula1>"Mayo,Junio,Julio,Agosto,Septiembre,Octubre"</formula1>
    </dataValidation>
    <dataValidation type="list" allowBlank="1" showInputMessage="1" showErrorMessage="1" sqref="K14:K15 O14:O15 S14:S15" xr:uid="{2BB0FF6E-93E1-497A-A7C3-5B2E1F89FE75}">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F8FE1636-1505-4B29-8E47-C2BB0FB4C5CC}">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ED1FA-D660-44B5-94EF-7F384DE16E17}">
  <sheetPr codeName="Planilha50"/>
  <dimension ref="A1:AB51"/>
  <sheetViews>
    <sheetView showGridLines="0" zoomScale="50" zoomScaleNormal="50" workbookViewId="0">
      <pane xSplit="3" ySplit="4" topLeftCell="D5"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771</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t="str">
        <f>IF($N$24&lt;&gt;"",IF($N$24=3,3,IF($N$24=2,2,1)),"")</f>
        <v/>
      </c>
      <c r="H7" s="48" t="str">
        <f>IF($Q$24&lt;&gt;"",IF($Q$24=3,3,IF($Q$24=2,2,1)),"")</f>
        <v/>
      </c>
      <c r="I7" s="48" t="str">
        <f>IF($T$24&lt;&gt;"",IF($T$24=3,3,IF($T$24=2,2,1)),"")</f>
        <v/>
      </c>
      <c r="J7" s="32"/>
      <c r="K7" s="49" t="s">
        <v>224</v>
      </c>
      <c r="L7" s="46" t="s">
        <v>225</v>
      </c>
      <c r="M7" s="267" t="s">
        <v>772</v>
      </c>
      <c r="N7" s="267"/>
      <c r="O7" s="267"/>
      <c r="P7" s="46" t="s">
        <v>227</v>
      </c>
      <c r="Q7" s="267" t="s">
        <v>773</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1.3999999999999999E-2</v>
      </c>
      <c r="F10" s="52" t="str">
        <f>IF(K20="D","D","-")</f>
        <v>-</v>
      </c>
      <c r="G10" s="52" t="str">
        <f>IF(N20="D","D","-")</f>
        <v>D</v>
      </c>
      <c r="H10" s="52" t="str">
        <f>IF(Q20="D","D","-")</f>
        <v>D</v>
      </c>
      <c r="I10" s="52" t="str">
        <f>IF(T20="D","D","-")</f>
        <v>-</v>
      </c>
      <c r="J10" s="32"/>
      <c r="K10" s="66" t="s">
        <v>230</v>
      </c>
      <c r="L10" s="50" t="s">
        <v>231</v>
      </c>
      <c r="M10" s="75">
        <v>2</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1.3999999999999999E-2</v>
      </c>
      <c r="F12" s="268">
        <f>IF($L$24&lt;&gt;"",IF($L$24=3,3,IF($L$24=2,2,1)),"")</f>
        <v>3</v>
      </c>
      <c r="G12" s="268">
        <f>IF($O$24&lt;&gt;"",IF($O$24=3,3,IF($O$24=2,2,1)),"")</f>
        <v>3</v>
      </c>
      <c r="H12" s="268" t="str">
        <f>IF($R$24&lt;&gt;"",IF($R$24=3,3,IF($R$24=2,2,1)),"")</f>
        <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250</v>
      </c>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774</v>
      </c>
      <c r="L18" s="264"/>
      <c r="M18" s="265"/>
      <c r="N18" s="266" t="s">
        <v>775</v>
      </c>
      <c r="O18" s="264"/>
      <c r="P18" s="265"/>
      <c r="Q18" s="266" t="s">
        <v>776</v>
      </c>
      <c r="R18" s="264"/>
      <c r="S18" s="265"/>
      <c r="T18" s="266" t="s">
        <v>777</v>
      </c>
      <c r="U18" s="264"/>
      <c r="V18" s="265"/>
      <c r="W18" s="9"/>
      <c r="X18" s="9"/>
      <c r="Y18" s="23"/>
    </row>
    <row r="19" spans="1:25" ht="141.75" customHeight="1" outlineLevel="2" x14ac:dyDescent="0.3">
      <c r="A19" s="1"/>
      <c r="B19" s="283"/>
      <c r="C19" s="283"/>
      <c r="D19" s="42" t="s">
        <v>257</v>
      </c>
      <c r="E19" s="307" t="s">
        <v>778</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144</v>
      </c>
      <c r="F20" s="288"/>
      <c r="G20" s="288"/>
      <c r="H20" s="288"/>
      <c r="I20" s="288"/>
      <c r="J20" s="25"/>
      <c r="K20" s="266"/>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779</v>
      </c>
      <c r="L21" s="264"/>
      <c r="M21" s="265"/>
      <c r="N21" s="266" t="s">
        <v>780</v>
      </c>
      <c r="O21" s="264"/>
      <c r="P21" s="265"/>
      <c r="Q21" s="266" t="s">
        <v>473</v>
      </c>
      <c r="R21" s="264"/>
      <c r="S21" s="265"/>
      <c r="T21" s="266" t="s">
        <v>719</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c r="O24" s="40">
        <v>3</v>
      </c>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781</v>
      </c>
      <c r="L26" s="45" t="s">
        <v>782</v>
      </c>
      <c r="M26" s="289"/>
      <c r="N26" s="58"/>
      <c r="O26" s="45" t="s">
        <v>1168</v>
      </c>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431" priority="4" operator="containsText" text="Finalizado">
      <formula>NOT(ISERROR(SEARCH("Finalizado",D15)))</formula>
    </cfRule>
    <cfRule type="containsText" dxfId="430" priority="5" operator="containsText" text="No Planificado">
      <formula>NOT(ISERROR(SEARCH("No Planificado",D15)))</formula>
    </cfRule>
    <cfRule type="containsText" dxfId="429" priority="6" operator="containsText" text="A Tiempo">
      <formula>NOT(ISERROR(SEARCH("A Tiempo",D15)))</formula>
    </cfRule>
    <cfRule type="containsText" dxfId="428" priority="7" operator="containsText" text="Retrasado">
      <formula>NOT(ISERROR(SEARCH("Retrasado",D15)))</formula>
    </cfRule>
  </conditionalFormatting>
  <conditionalFormatting sqref="F7:F8">
    <cfRule type="iconSet" priority="11">
      <iconSet showValue="0">
        <cfvo type="percent" val="0"/>
        <cfvo type="num" val="2"/>
        <cfvo type="num" val="3"/>
      </iconSet>
    </cfRule>
  </conditionalFormatting>
  <conditionalFormatting sqref="F12 F14">
    <cfRule type="iconSet" priority="9">
      <iconSet showValue="0">
        <cfvo type="percent" val="0"/>
        <cfvo type="num" val="2"/>
        <cfvo type="num" val="3"/>
      </iconSet>
    </cfRule>
  </conditionalFormatting>
  <conditionalFormatting sqref="G7:I8">
    <cfRule type="iconSet" priority="10">
      <iconSet showValue="0">
        <cfvo type="percent" val="0"/>
        <cfvo type="num" val="2"/>
        <cfvo type="num" val="3"/>
      </iconSet>
    </cfRule>
  </conditionalFormatting>
  <conditionalFormatting sqref="G12:I12 G14:I14">
    <cfRule type="iconSet" priority="8">
      <iconSet showValue="0">
        <cfvo type="percent" val="0"/>
        <cfvo type="num" val="2"/>
        <cfvo type="num" val="3"/>
      </iconSet>
    </cfRule>
  </conditionalFormatting>
  <conditionalFormatting sqref="K24">
    <cfRule type="iconSet" priority="2">
      <iconSet showValue="0">
        <cfvo type="percent" val="0"/>
        <cfvo type="num" val="2"/>
        <cfvo type="num" val="3"/>
      </iconSet>
    </cfRule>
  </conditionalFormatting>
  <conditionalFormatting sqref="K25:L25">
    <cfRule type="containsText" dxfId="427" priority="22" operator="containsText" text="PENDIENTE">
      <formula>NOT(ISERROR(SEARCH("PENDIENTE",K25)))</formula>
    </cfRule>
    <cfRule type="containsText" dxfId="426" priority="23" operator="containsText" text="NO VALIDADO">
      <formula>NOT(ISERROR(SEARCH("NO VALIDADO",K25)))</formula>
    </cfRule>
    <cfRule type="containsText" dxfId="425" priority="24" operator="containsText" text="VALIDADO">
      <formula>NOT(ISERROR(SEARCH("VALIDADO",K25)))</formula>
    </cfRule>
  </conditionalFormatting>
  <conditionalFormatting sqref="L24 N24:O24 Q24:R24 T24:U24">
    <cfRule type="iconSet" priority="12">
      <iconSet showValue="0">
        <cfvo type="percent" val="0"/>
        <cfvo type="num" val="2"/>
        <cfvo type="num" val="3"/>
      </iconSet>
    </cfRule>
  </conditionalFormatting>
  <conditionalFormatting sqref="N25:O25">
    <cfRule type="containsText" dxfId="424" priority="19" operator="containsText" text="PENDIENTE">
      <formula>NOT(ISERROR(SEARCH("PENDIENTE",N25)))</formula>
    </cfRule>
    <cfRule type="containsText" dxfId="423" priority="20" operator="containsText" text="NO VALIDADO">
      <formula>NOT(ISERROR(SEARCH("NO VALIDADO",N25)))</formula>
    </cfRule>
    <cfRule type="containsText" dxfId="422" priority="21" operator="containsText" text="VALIDADO">
      <formula>NOT(ISERROR(SEARCH("VALIDADO",N25)))</formula>
    </cfRule>
  </conditionalFormatting>
  <conditionalFormatting sqref="Q25:R25">
    <cfRule type="containsText" dxfId="421" priority="16" operator="containsText" text="PENDIENTE">
      <formula>NOT(ISERROR(SEARCH("PENDIENTE",Q25)))</formula>
    </cfRule>
    <cfRule type="containsText" dxfId="420" priority="17" operator="containsText" text="NO VALIDADO">
      <formula>NOT(ISERROR(SEARCH("NO VALIDADO",Q25)))</formula>
    </cfRule>
    <cfRule type="containsText" dxfId="419" priority="18" operator="containsText" text="VALIDADO">
      <formula>NOT(ISERROR(SEARCH("VALIDADO",Q25)))</formula>
    </cfRule>
  </conditionalFormatting>
  <conditionalFormatting sqref="T25:U25">
    <cfRule type="containsText" dxfId="418" priority="13" operator="containsText" text="PENDIENTE">
      <formula>NOT(ISERROR(SEARCH("PENDIENTE",T25)))</formula>
    </cfRule>
    <cfRule type="containsText" dxfId="417" priority="14" operator="containsText" text="NO VALIDADO">
      <formula>NOT(ISERROR(SEARCH("NO VALIDADO",T25)))</formula>
    </cfRule>
    <cfRule type="containsText" dxfId="416" priority="15" operator="containsText" text="VALIDADO">
      <formula>NOT(ISERROR(SEARCH("VALIDADO",T25)))</formula>
    </cfRule>
  </conditionalFormatting>
  <dataValidations count="6">
    <dataValidation type="list" allowBlank="1" showInputMessage="1" showErrorMessage="1" sqref="K14:K15 O14:O15 S14:S15" xr:uid="{6E231690-DBB8-4814-9750-9CF3998312C2}">
      <formula1>"No Iniciado, En Progreso,Finalizado"</formula1>
    </dataValidation>
    <dataValidation type="list" allowBlank="1" showInputMessage="1" showErrorMessage="1" sqref="M12 Q12 U12" xr:uid="{D39DE9DC-00F8-456F-87CF-39BE5FE29AD2}">
      <formula1>"Mayo,Junio,Julio,Agosto,Septiembre,Octubre"</formula1>
    </dataValidation>
    <dataValidation type="list" allowBlank="1" showInputMessage="1" showErrorMessage="1" sqref="AB14:AB15 R14:R15 N14:N15 V14:V15" xr:uid="{F0C7C015-8173-4673-BF01-87145DFE3434}">
      <formula1>"No Cumple, Parcial, Cumple, Más que Cumple, Mejor Práctica"</formula1>
    </dataValidation>
    <dataValidation type="list" allowBlank="1" showInputMessage="1" showErrorMessage="1" sqref="O10" xr:uid="{B8A3B946-6BCF-4B03-896E-6B08784B26E6}">
      <formula1>"Alta,Baja,No Planificado"</formula1>
    </dataValidation>
    <dataValidation type="list" allowBlank="1" showInputMessage="1" showErrorMessage="1" sqref="S10 Q10" xr:uid="{40974D16-324A-459F-A0DB-F5E22C48990E}">
      <formula1>"Junio,Julio,Agosto,Septiembre,Octubre"</formula1>
    </dataValidation>
    <dataValidation type="list" allowBlank="1" showInputMessage="1" showErrorMessage="1" sqref="D10" xr:uid="{B0C570F5-9CD0-441E-867E-3CA7C6BB0276}">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8FE81BEC-FF49-4AD1-A412-CEF5C803AF3D}">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CD8FF-3663-4CB0-BDD3-51C7BB08414A}">
  <sheetPr codeName="Planilha51"/>
  <dimension ref="A1:AB51"/>
  <sheetViews>
    <sheetView showGridLines="0" zoomScale="50" zoomScaleNormal="50" workbookViewId="0">
      <pane xSplit="3" ySplit="4" topLeftCell="D20"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783</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1</v>
      </c>
      <c r="H7" s="48" t="str">
        <f>IF($Q$24&lt;&gt;"",IF($Q$24=3,3,IF($Q$24=2,2,1)),"")</f>
        <v/>
      </c>
      <c r="I7" s="48" t="str">
        <f>IF($T$24&lt;&gt;"",IF($T$24=3,3,IF($T$24=2,2,1)),"")</f>
        <v/>
      </c>
      <c r="J7" s="32"/>
      <c r="K7" s="49" t="s">
        <v>224</v>
      </c>
      <c r="L7" s="46" t="s">
        <v>225</v>
      </c>
      <c r="M7" s="267" t="s">
        <v>772</v>
      </c>
      <c r="N7" s="267"/>
      <c r="O7" s="267"/>
      <c r="P7" s="46" t="s">
        <v>227</v>
      </c>
      <c r="Q7" s="267" t="s">
        <v>773</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1.0499999999999999E-2</v>
      </c>
      <c r="F10" s="52" t="str">
        <f>IF(K20="D","D","-")</f>
        <v>-</v>
      </c>
      <c r="G10" s="52" t="str">
        <f>IF(N20="D","D","-")</f>
        <v>D</v>
      </c>
      <c r="H10" s="52" t="str">
        <f>IF(Q20="D","D","-")</f>
        <v>D</v>
      </c>
      <c r="I10" s="52" t="str">
        <f>IF(T20="D","D","-")</f>
        <v>-</v>
      </c>
      <c r="J10" s="32"/>
      <c r="K10" s="66" t="s">
        <v>230</v>
      </c>
      <c r="L10" s="50" t="s">
        <v>231</v>
      </c>
      <c r="M10" s="75">
        <v>2</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1.0499999999999999E-2</v>
      </c>
      <c r="F12" s="268">
        <f>IF($L$24&lt;&gt;"",IF($L$24=3,3,IF($L$24=2,2,1)),"")</f>
        <v>3</v>
      </c>
      <c r="G12" s="268">
        <f>IF($O$24&lt;&gt;"",IF($O$24=3,3,IF($O$24=2,2,1)),"")</f>
        <v>3</v>
      </c>
      <c r="H12" s="268" t="str">
        <f>IF($R$24&lt;&gt;"",IF($R$24=3,3,IF($R$24=2,2,1)),"")</f>
        <v/>
      </c>
      <c r="I12" s="268" t="str">
        <f>IF($U$24&lt;&gt;"",IF($U$24=3,3,IF($U$24=2,2,1)),"")</f>
        <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305</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784</v>
      </c>
      <c r="L18" s="264"/>
      <c r="M18" s="265"/>
      <c r="N18" s="266" t="s">
        <v>785</v>
      </c>
      <c r="O18" s="264"/>
      <c r="P18" s="265"/>
      <c r="Q18" s="266" t="s">
        <v>786</v>
      </c>
      <c r="R18" s="264"/>
      <c r="S18" s="265"/>
      <c r="T18" s="266" t="s">
        <v>787</v>
      </c>
      <c r="U18" s="264"/>
      <c r="V18" s="265"/>
      <c r="W18" s="9"/>
      <c r="X18" s="9"/>
      <c r="Y18" s="23"/>
    </row>
    <row r="19" spans="1:25" ht="141.75" customHeight="1" outlineLevel="2" x14ac:dyDescent="0.3">
      <c r="A19" s="1"/>
      <c r="B19" s="283"/>
      <c r="C19" s="283"/>
      <c r="D19" s="42" t="s">
        <v>257</v>
      </c>
      <c r="E19" s="307" t="s">
        <v>788</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144</v>
      </c>
      <c r="F20" s="288"/>
      <c r="G20" s="288"/>
      <c r="H20" s="288"/>
      <c r="I20" s="288"/>
      <c r="J20" s="25"/>
      <c r="K20" s="266"/>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789</v>
      </c>
      <c r="L21" s="264"/>
      <c r="M21" s="265"/>
      <c r="N21" s="266" t="s">
        <v>780</v>
      </c>
      <c r="O21" s="264"/>
      <c r="P21" s="265"/>
      <c r="Q21" s="266" t="s">
        <v>473</v>
      </c>
      <c r="R21" s="264"/>
      <c r="S21" s="265"/>
      <c r="T21" s="266" t="s">
        <v>719</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1</v>
      </c>
      <c r="O24" s="40">
        <v>3</v>
      </c>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790</v>
      </c>
      <c r="L26" s="45" t="s">
        <v>782</v>
      </c>
      <c r="M26" s="289"/>
      <c r="N26" s="58" t="s">
        <v>791</v>
      </c>
      <c r="O26" s="45" t="s">
        <v>1169</v>
      </c>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415" priority="3" operator="containsText" text="Finalizado">
      <formula>NOT(ISERROR(SEARCH("Finalizado",D15)))</formula>
    </cfRule>
    <cfRule type="containsText" dxfId="414" priority="4" operator="containsText" text="No Planificado">
      <formula>NOT(ISERROR(SEARCH("No Planificado",D15)))</formula>
    </cfRule>
    <cfRule type="containsText" dxfId="413" priority="5" operator="containsText" text="A Tiempo">
      <formula>NOT(ISERROR(SEARCH("A Tiempo",D15)))</formula>
    </cfRule>
    <cfRule type="containsText" dxfId="412" priority="6" operator="containsText" text="Retrasado">
      <formula>NOT(ISERROR(SEARCH("Retrasado",D15)))</formula>
    </cfRule>
  </conditionalFormatting>
  <conditionalFormatting sqref="F7:F8">
    <cfRule type="iconSet" priority="10">
      <iconSet showValue="0">
        <cfvo type="percent" val="0"/>
        <cfvo type="num" val="2"/>
        <cfvo type="num" val="3"/>
      </iconSet>
    </cfRule>
  </conditionalFormatting>
  <conditionalFormatting sqref="F12 F14">
    <cfRule type="iconSet" priority="8">
      <iconSet showValue="0">
        <cfvo type="percent" val="0"/>
        <cfvo type="num" val="2"/>
        <cfvo type="num" val="3"/>
      </iconSet>
    </cfRule>
  </conditionalFormatting>
  <conditionalFormatting sqref="G7:I8">
    <cfRule type="iconSet" priority="9">
      <iconSet showValue="0">
        <cfvo type="percent" val="0"/>
        <cfvo type="num" val="2"/>
        <cfvo type="num" val="3"/>
      </iconSet>
    </cfRule>
  </conditionalFormatting>
  <conditionalFormatting sqref="G12:I12 G14:I14">
    <cfRule type="iconSet" priority="7">
      <iconSet showValue="0">
        <cfvo type="percent" val="0"/>
        <cfvo type="num" val="2"/>
        <cfvo type="num" val="3"/>
      </iconSet>
    </cfRule>
  </conditionalFormatting>
  <conditionalFormatting sqref="K24:L24 N24:O24 Q24:R24 T24:U24">
    <cfRule type="iconSet" priority="11">
      <iconSet showValue="0">
        <cfvo type="percent" val="0"/>
        <cfvo type="num" val="2"/>
        <cfvo type="num" val="3"/>
      </iconSet>
    </cfRule>
  </conditionalFormatting>
  <conditionalFormatting sqref="K25:L25">
    <cfRule type="containsText" dxfId="411" priority="21" operator="containsText" text="PENDIENTE">
      <formula>NOT(ISERROR(SEARCH("PENDIENTE",K25)))</formula>
    </cfRule>
    <cfRule type="containsText" dxfId="410" priority="22" operator="containsText" text="NO VALIDADO">
      <formula>NOT(ISERROR(SEARCH("NO VALIDADO",K25)))</formula>
    </cfRule>
    <cfRule type="containsText" dxfId="409" priority="23" operator="containsText" text="VALIDADO">
      <formula>NOT(ISERROR(SEARCH("VALIDADO",K25)))</formula>
    </cfRule>
  </conditionalFormatting>
  <conditionalFormatting sqref="N25:O25">
    <cfRule type="containsText" dxfId="408" priority="18" operator="containsText" text="PENDIENTE">
      <formula>NOT(ISERROR(SEARCH("PENDIENTE",N25)))</formula>
    </cfRule>
    <cfRule type="containsText" dxfId="407" priority="19" operator="containsText" text="NO VALIDADO">
      <formula>NOT(ISERROR(SEARCH("NO VALIDADO",N25)))</formula>
    </cfRule>
    <cfRule type="containsText" dxfId="406" priority="20" operator="containsText" text="VALIDADO">
      <formula>NOT(ISERROR(SEARCH("VALIDADO",N25)))</formula>
    </cfRule>
  </conditionalFormatting>
  <conditionalFormatting sqref="Q25:R25">
    <cfRule type="containsText" dxfId="405" priority="15" operator="containsText" text="PENDIENTE">
      <formula>NOT(ISERROR(SEARCH("PENDIENTE",Q25)))</formula>
    </cfRule>
    <cfRule type="containsText" dxfId="404" priority="16" operator="containsText" text="NO VALIDADO">
      <formula>NOT(ISERROR(SEARCH("NO VALIDADO",Q25)))</formula>
    </cfRule>
    <cfRule type="containsText" dxfId="403" priority="17" operator="containsText" text="VALIDADO">
      <formula>NOT(ISERROR(SEARCH("VALIDADO",Q25)))</formula>
    </cfRule>
  </conditionalFormatting>
  <conditionalFormatting sqref="T25:U25">
    <cfRule type="containsText" dxfId="402" priority="12" operator="containsText" text="PENDIENTE">
      <formula>NOT(ISERROR(SEARCH("PENDIENTE",T25)))</formula>
    </cfRule>
    <cfRule type="containsText" dxfId="401" priority="13" operator="containsText" text="NO VALIDADO">
      <formula>NOT(ISERROR(SEARCH("NO VALIDADO",T25)))</formula>
    </cfRule>
    <cfRule type="containsText" dxfId="400" priority="14" operator="containsText" text="VALIDADO">
      <formula>NOT(ISERROR(SEARCH("VALIDADO",T25)))</formula>
    </cfRule>
  </conditionalFormatting>
  <dataValidations count="6">
    <dataValidation type="list" allowBlank="1" showInputMessage="1" showErrorMessage="1" sqref="D10" xr:uid="{3DA63790-FC5D-4DD3-AB30-CA358F987893}">
      <formula1>"No Cumple, Parcial,Cumple,Más que Cumple,Mejor Práctica"</formula1>
    </dataValidation>
    <dataValidation type="list" allowBlank="1" showInputMessage="1" showErrorMessage="1" sqref="S10 Q10" xr:uid="{C173AA85-6148-44B5-8BDA-BAED67BABEA5}">
      <formula1>"Junio,Julio,Agosto,Septiembre,Octubre"</formula1>
    </dataValidation>
    <dataValidation type="list" allowBlank="1" showInputMessage="1" showErrorMessage="1" sqref="O10" xr:uid="{C5F2E5E1-89BE-48C1-868B-01A247DBE1CA}">
      <formula1>"Alta,Baja,No Planificado"</formula1>
    </dataValidation>
    <dataValidation type="list" allowBlank="1" showInputMessage="1" showErrorMessage="1" sqref="AB14:AB15 R14:R15 N14:N15 V14:V15" xr:uid="{56941240-D025-417A-AC8E-365B0C526B68}">
      <formula1>"No Cumple, Parcial, Cumple, Más que Cumple, Mejor Práctica"</formula1>
    </dataValidation>
    <dataValidation type="list" allowBlank="1" showInputMessage="1" showErrorMessage="1" sqref="M12 Q12 U12" xr:uid="{2BD39D72-F6F8-43BD-9169-E50D49EB9C58}">
      <formula1>"Mayo,Junio,Julio,Agosto,Septiembre,Octubre"</formula1>
    </dataValidation>
    <dataValidation type="list" allowBlank="1" showInputMessage="1" showErrorMessage="1" sqref="K14:K15 O14:O15 S14:S15" xr:uid="{11230746-DDB5-4430-A3C1-5F710D4297C1}">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504BB7D-41D3-40DE-85ED-15F84AE8C7CE}">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B423-19E0-4F6E-89D4-63AEE9DD3449}">
  <sheetPr codeName="Planilha52"/>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792</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8.0000000000000002E-3</v>
      </c>
      <c r="F7" s="48">
        <f>IF($K$24&lt;&gt;"",IF($K$24=3,3,IF($K$24=2,2,1)),"")</f>
        <v>3</v>
      </c>
      <c r="G7" s="48">
        <f>IF($N$24&lt;&gt;"",IF($N$24=3,3,IF($N$24=2,2,1)),"")</f>
        <v>2</v>
      </c>
      <c r="H7" s="48" t="str">
        <f>IF($Q$24&lt;&gt;"",IF($Q$24=3,3,IF($Q$24=2,2,1)),"")</f>
        <v/>
      </c>
      <c r="I7" s="48" t="str">
        <f>IF($T$24&lt;&gt;"",IF($T$24=3,3,IF($T$24=2,2,1)),"")</f>
        <v/>
      </c>
      <c r="J7" s="32"/>
      <c r="K7" s="49" t="s">
        <v>224</v>
      </c>
      <c r="L7" s="46" t="s">
        <v>225</v>
      </c>
      <c r="M7" s="267" t="s">
        <v>793</v>
      </c>
      <c r="N7" s="267"/>
      <c r="O7" s="267"/>
      <c r="P7" s="46" t="s">
        <v>227</v>
      </c>
      <c r="Q7" s="267" t="s">
        <v>794</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1.3999999999999999E-2</v>
      </c>
      <c r="F10" s="52" t="str">
        <f>IF(K20="D","D","-")</f>
        <v>-</v>
      </c>
      <c r="G10" s="52" t="str">
        <f>IF(N20="D","D","-")</f>
        <v>D</v>
      </c>
      <c r="H10" s="52" t="str">
        <f>IF(Q20="D","D","-")</f>
        <v>D</v>
      </c>
      <c r="I10" s="52" t="str">
        <f>IF(T20="D","D","-")</f>
        <v>-</v>
      </c>
      <c r="J10" s="32"/>
      <c r="K10" s="66" t="s">
        <v>230</v>
      </c>
      <c r="L10" s="50" t="s">
        <v>231</v>
      </c>
      <c r="M10" s="75">
        <v>2</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1.3999999999999999E-2</v>
      </c>
      <c r="F12" s="268">
        <f>IF($L$24&lt;&gt;"",IF($L$24=3,3,IF($L$24=2,2,1)),"")</f>
        <v>3</v>
      </c>
      <c r="G12" s="268">
        <f>IF($O$24&lt;&gt;"",IF($O$24=3,3,IF($O$24=2,2,1)),"")</f>
        <v>3</v>
      </c>
      <c r="H12" s="268" t="str">
        <f>IF($R$24&lt;&gt;"",IF($R$24=3,3,IF($R$24=2,2,1)),"")</f>
        <v/>
      </c>
      <c r="I12" s="268" t="str">
        <f>IF($U$24&lt;&gt;"",IF($U$24=3,3,IF($U$24=2,2,1)),"")</f>
        <v/>
      </c>
      <c r="J12" s="32"/>
      <c r="K12" s="300" t="s">
        <v>240</v>
      </c>
      <c r="L12" s="274"/>
      <c r="M12" s="280" t="s">
        <v>321</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305</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795</v>
      </c>
      <c r="L18" s="264"/>
      <c r="M18" s="265"/>
      <c r="N18" s="266" t="s">
        <v>796</v>
      </c>
      <c r="O18" s="264"/>
      <c r="P18" s="265"/>
      <c r="Q18" s="266" t="s">
        <v>797</v>
      </c>
      <c r="R18" s="264"/>
      <c r="S18" s="265"/>
      <c r="T18" s="266" t="s">
        <v>798</v>
      </c>
      <c r="U18" s="264"/>
      <c r="V18" s="265"/>
      <c r="W18" s="9"/>
      <c r="X18" s="9"/>
      <c r="Y18" s="23"/>
    </row>
    <row r="19" spans="1:25" ht="141.75" customHeight="1" outlineLevel="2" x14ac:dyDescent="0.3">
      <c r="A19" s="1"/>
      <c r="B19" s="283"/>
      <c r="C19" s="283"/>
      <c r="D19" s="42" t="s">
        <v>257</v>
      </c>
      <c r="E19" s="307" t="s">
        <v>799</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144</v>
      </c>
      <c r="F20" s="288"/>
      <c r="G20" s="288"/>
      <c r="H20" s="288"/>
      <c r="I20" s="288"/>
      <c r="J20" s="25"/>
      <c r="K20" s="266"/>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800</v>
      </c>
      <c r="L21" s="264"/>
      <c r="M21" s="265"/>
      <c r="N21" s="266" t="s">
        <v>801</v>
      </c>
      <c r="O21" s="264"/>
      <c r="P21" s="265"/>
      <c r="Q21" s="266" t="s">
        <v>802</v>
      </c>
      <c r="R21" s="264"/>
      <c r="S21" s="265"/>
      <c r="T21" s="266" t="s">
        <v>803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804</v>
      </c>
      <c r="L26" s="45"/>
      <c r="M26" s="289"/>
      <c r="N26" s="58" t="s">
        <v>805</v>
      </c>
      <c r="O26" s="45" t="s">
        <v>1170</v>
      </c>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399" priority="4" operator="containsText" text="Finalizado">
      <formula>NOT(ISERROR(SEARCH("Finalizado",D15)))</formula>
    </cfRule>
    <cfRule type="containsText" dxfId="398" priority="5" operator="containsText" text="No Planificado">
      <formula>NOT(ISERROR(SEARCH("No Planificado",D15)))</formula>
    </cfRule>
    <cfRule type="containsText" dxfId="397" priority="6" operator="containsText" text="A Tiempo">
      <formula>NOT(ISERROR(SEARCH("A Tiempo",D15)))</formula>
    </cfRule>
    <cfRule type="containsText" dxfId="396" priority="7" operator="containsText" text="Retrasado">
      <formula>NOT(ISERROR(SEARCH("Retrasado",D15)))</formula>
    </cfRule>
  </conditionalFormatting>
  <conditionalFormatting sqref="F7:F8">
    <cfRule type="iconSet" priority="11">
      <iconSet showValue="0">
        <cfvo type="percent" val="0"/>
        <cfvo type="num" val="2"/>
        <cfvo type="num" val="3"/>
      </iconSet>
    </cfRule>
  </conditionalFormatting>
  <conditionalFormatting sqref="F12 F14">
    <cfRule type="iconSet" priority="9">
      <iconSet showValue="0">
        <cfvo type="percent" val="0"/>
        <cfvo type="num" val="2"/>
        <cfvo type="num" val="3"/>
      </iconSet>
    </cfRule>
  </conditionalFormatting>
  <conditionalFormatting sqref="G7:I8">
    <cfRule type="iconSet" priority="10">
      <iconSet showValue="0">
        <cfvo type="percent" val="0"/>
        <cfvo type="num" val="2"/>
        <cfvo type="num" val="3"/>
      </iconSet>
    </cfRule>
  </conditionalFormatting>
  <conditionalFormatting sqref="G12:I12 G14:I14">
    <cfRule type="iconSet" priority="8">
      <iconSet showValue="0">
        <cfvo type="percent" val="0"/>
        <cfvo type="num" val="2"/>
        <cfvo type="num" val="3"/>
      </iconSet>
    </cfRule>
  </conditionalFormatting>
  <conditionalFormatting sqref="K24">
    <cfRule type="iconSet" priority="2">
      <iconSet showValue="0">
        <cfvo type="percent" val="0"/>
        <cfvo type="num" val="2"/>
        <cfvo type="num" val="3"/>
      </iconSet>
    </cfRule>
  </conditionalFormatting>
  <conditionalFormatting sqref="K25:L25">
    <cfRule type="containsText" dxfId="395" priority="22" operator="containsText" text="PENDIENTE">
      <formula>NOT(ISERROR(SEARCH("PENDIENTE",K25)))</formula>
    </cfRule>
    <cfRule type="containsText" dxfId="394" priority="23" operator="containsText" text="NO VALIDADO">
      <formula>NOT(ISERROR(SEARCH("NO VALIDADO",K25)))</formula>
    </cfRule>
    <cfRule type="containsText" dxfId="393" priority="24" operator="containsText" text="VALIDADO">
      <formula>NOT(ISERROR(SEARCH("VALIDADO",K25)))</formula>
    </cfRule>
  </conditionalFormatting>
  <conditionalFormatting sqref="L24 N24:O24 Q24:R24 T24:U24">
    <cfRule type="iconSet" priority="12">
      <iconSet showValue="0">
        <cfvo type="percent" val="0"/>
        <cfvo type="num" val="2"/>
        <cfvo type="num" val="3"/>
      </iconSet>
    </cfRule>
  </conditionalFormatting>
  <conditionalFormatting sqref="N25:O25">
    <cfRule type="containsText" dxfId="392" priority="19" operator="containsText" text="PENDIENTE">
      <formula>NOT(ISERROR(SEARCH("PENDIENTE",N25)))</formula>
    </cfRule>
    <cfRule type="containsText" dxfId="391" priority="20" operator="containsText" text="NO VALIDADO">
      <formula>NOT(ISERROR(SEARCH("NO VALIDADO",N25)))</formula>
    </cfRule>
    <cfRule type="containsText" dxfId="390" priority="21" operator="containsText" text="VALIDADO">
      <formula>NOT(ISERROR(SEARCH("VALIDADO",N25)))</formula>
    </cfRule>
  </conditionalFormatting>
  <conditionalFormatting sqref="Q25:R25">
    <cfRule type="containsText" dxfId="389" priority="16" operator="containsText" text="PENDIENTE">
      <formula>NOT(ISERROR(SEARCH("PENDIENTE",Q25)))</formula>
    </cfRule>
    <cfRule type="containsText" dxfId="388" priority="17" operator="containsText" text="NO VALIDADO">
      <formula>NOT(ISERROR(SEARCH("NO VALIDADO",Q25)))</formula>
    </cfRule>
    <cfRule type="containsText" dxfId="387" priority="18" operator="containsText" text="VALIDADO">
      <formula>NOT(ISERROR(SEARCH("VALIDADO",Q25)))</formula>
    </cfRule>
  </conditionalFormatting>
  <conditionalFormatting sqref="T25:U25">
    <cfRule type="containsText" dxfId="386" priority="13" operator="containsText" text="PENDIENTE">
      <formula>NOT(ISERROR(SEARCH("PENDIENTE",T25)))</formula>
    </cfRule>
    <cfRule type="containsText" dxfId="385" priority="14" operator="containsText" text="NO VALIDADO">
      <formula>NOT(ISERROR(SEARCH("NO VALIDADO",T25)))</formula>
    </cfRule>
    <cfRule type="containsText" dxfId="384" priority="15" operator="containsText" text="VALIDADO">
      <formula>NOT(ISERROR(SEARCH("VALIDADO",T25)))</formula>
    </cfRule>
  </conditionalFormatting>
  <dataValidations count="6">
    <dataValidation type="list" allowBlank="1" showInputMessage="1" showErrorMessage="1" sqref="K14:K15 O14:O15 S14:S15" xr:uid="{56B399DE-DBC3-42F8-9F4A-6C32DF9C65F1}">
      <formula1>"No Iniciado, En Progreso,Finalizado"</formula1>
    </dataValidation>
    <dataValidation type="list" allowBlank="1" showInputMessage="1" showErrorMessage="1" sqref="M12 Q12 U12" xr:uid="{EACA23A1-6907-443D-A669-7181A58365BA}">
      <formula1>"Mayo,Junio,Julio,Agosto,Septiembre,Octubre"</formula1>
    </dataValidation>
    <dataValidation type="list" allowBlank="1" showInputMessage="1" showErrorMessage="1" sqref="AB14:AB15 R14:R15 N14:N15 V14:V15" xr:uid="{D9E2B08A-072D-400A-AE46-B7C124FDF25E}">
      <formula1>"No Cumple, Parcial, Cumple, Más que Cumple, Mejor Práctica"</formula1>
    </dataValidation>
    <dataValidation type="list" allowBlank="1" showInputMessage="1" showErrorMessage="1" sqref="O10" xr:uid="{01F4A587-4FF7-4E32-A763-4DE5463FE877}">
      <formula1>"Alta,Baja,No Planificado"</formula1>
    </dataValidation>
    <dataValidation type="list" allowBlank="1" showInputMessage="1" showErrorMessage="1" sqref="S10 Q10" xr:uid="{CB432D01-ACD4-4DAC-A945-CDC112F69774}">
      <formula1>"Junio,Julio,Agosto,Septiembre,Octubre"</formula1>
    </dataValidation>
    <dataValidation type="list" allowBlank="1" showInputMessage="1" showErrorMessage="1" sqref="D10" xr:uid="{63856064-9330-4498-918C-DCD58569903D}">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4BB50C9C-1554-46F5-B7AE-413901AED38A}">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0C4DF-CFA3-42C9-9133-0E8CE12CBF30}">
  <sheetPr codeName="Planilha53"/>
  <dimension ref="A1:AB51"/>
  <sheetViews>
    <sheetView showGridLines="0" zoomScale="50" zoomScaleNormal="50" workbookViewId="0">
      <pane xSplit="3" ySplit="4" topLeftCell="I13"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806</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1</v>
      </c>
      <c r="H7" s="48">
        <f>IF($Q$24&lt;&gt;"",IF($Q$24=3,3,IF($Q$24=2,2,1)),"")</f>
        <v>1</v>
      </c>
      <c r="I7" s="48" t="str">
        <f>IF($T$24&lt;&gt;"",IF($T$24=3,3,IF($T$24=2,2,1)),"")</f>
        <v/>
      </c>
      <c r="J7" s="32"/>
      <c r="K7" s="49" t="s">
        <v>224</v>
      </c>
      <c r="L7" s="46" t="s">
        <v>225</v>
      </c>
      <c r="M7" s="267" t="s">
        <v>807</v>
      </c>
      <c r="N7" s="267"/>
      <c r="O7" s="267"/>
      <c r="P7" s="46" t="s">
        <v>227</v>
      </c>
      <c r="Q7" s="267" t="s">
        <v>808</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f>IF(Q10="Junho",6,IF(Q10="Julho",7,IF(Q10="Agosto",8,IF(Q10="Setembro",9,IF(Q10="Outubro",10,"")))))</f>
        <v>8</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1.7000000000000001E-2</v>
      </c>
      <c r="F10" s="52" t="str">
        <f>IF(K20="D","D","-")</f>
        <v>D</v>
      </c>
      <c r="G10" s="52" t="str">
        <f>IF(N20="D","D","-")</f>
        <v>D</v>
      </c>
      <c r="H10" s="52" t="str">
        <f>IF(Q20="D","D","-")</f>
        <v>D</v>
      </c>
      <c r="I10" s="52" t="str">
        <f>IF(T20="D","D","-")</f>
        <v>-</v>
      </c>
      <c r="J10" s="32"/>
      <c r="K10" s="66" t="s">
        <v>230</v>
      </c>
      <c r="L10" s="50" t="s">
        <v>231</v>
      </c>
      <c r="M10" s="75">
        <v>2</v>
      </c>
      <c r="N10" s="50" t="s">
        <v>232</v>
      </c>
      <c r="O10" s="53" t="s">
        <v>374</v>
      </c>
      <c r="P10" s="50" t="s">
        <v>233</v>
      </c>
      <c r="Q10" s="92" t="s">
        <v>234</v>
      </c>
      <c r="R10" s="50" t="s">
        <v>235</v>
      </c>
      <c r="S10" s="92" t="s">
        <v>303</v>
      </c>
      <c r="T10" s="50" t="s">
        <v>237</v>
      </c>
      <c r="U10" s="53" t="s">
        <v>809</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1.3999999999999999E-2</v>
      </c>
      <c r="F12" s="268">
        <f>IF($L$24&lt;&gt;"",IF($L$24=3,3,IF($L$24=2,2,1)),"")</f>
        <v>3</v>
      </c>
      <c r="G12" s="268">
        <f>IF($O$24&lt;&gt;"",IF($O$24=3,3,IF($O$24=2,2,1)),"")</f>
        <v>3</v>
      </c>
      <c r="H12" s="268">
        <f>IF($R$24&lt;&gt;"",IF($R$24=3,3,IF($R$24=2,2,1)),"")</f>
        <v>2</v>
      </c>
      <c r="I12" s="268">
        <f>IF($U$24&lt;&gt;"",IF($U$24=3,3,IF($U$24=2,2,1)),"")</f>
        <v>2</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390</v>
      </c>
      <c r="O14" s="266" t="s">
        <v>247</v>
      </c>
      <c r="P14" s="286" t="s">
        <v>323</v>
      </c>
      <c r="Q14" s="286"/>
      <c r="R14" s="265" t="s">
        <v>422</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810</v>
      </c>
      <c r="L18" s="264"/>
      <c r="M18" s="265"/>
      <c r="N18" s="266" t="s">
        <v>811</v>
      </c>
      <c r="O18" s="264"/>
      <c r="P18" s="265"/>
      <c r="Q18" s="266" t="s">
        <v>812</v>
      </c>
      <c r="R18" s="264"/>
      <c r="S18" s="265"/>
      <c r="T18" s="266" t="s">
        <v>813</v>
      </c>
      <c r="U18" s="264"/>
      <c r="V18" s="265"/>
      <c r="W18" s="9"/>
      <c r="X18" s="9"/>
      <c r="Y18" s="23"/>
    </row>
    <row r="19" spans="1:25" ht="141.75" customHeight="1" outlineLevel="2" x14ac:dyDescent="0.3">
      <c r="A19" s="1"/>
      <c r="B19" s="283"/>
      <c r="C19" s="283"/>
      <c r="D19" s="42" t="s">
        <v>257</v>
      </c>
      <c r="E19" s="307" t="s">
        <v>814</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148</v>
      </c>
      <c r="F20" s="288"/>
      <c r="G20" s="288"/>
      <c r="H20" s="288"/>
      <c r="I20" s="288"/>
      <c r="J20" s="25"/>
      <c r="K20" s="266" t="s">
        <v>260</v>
      </c>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815</v>
      </c>
      <c r="L21" s="264"/>
      <c r="M21" s="265"/>
      <c r="N21" s="266" t="s">
        <v>816</v>
      </c>
      <c r="O21" s="264"/>
      <c r="P21" s="265"/>
      <c r="Q21" s="266" t="s">
        <v>817</v>
      </c>
      <c r="R21" s="264"/>
      <c r="S21" s="265"/>
      <c r="T21" s="266" t="s">
        <v>719</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1</v>
      </c>
      <c r="O24" s="40">
        <v>3</v>
      </c>
      <c r="P24" s="289"/>
      <c r="Q24" s="56">
        <v>1</v>
      </c>
      <c r="R24" s="40">
        <v>2</v>
      </c>
      <c r="S24" s="289"/>
      <c r="T24" s="56"/>
      <c r="U24" s="40">
        <v>2</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818</v>
      </c>
      <c r="L26" s="45" t="s">
        <v>1160</v>
      </c>
      <c r="M26" s="289"/>
      <c r="N26" s="58" t="s">
        <v>819</v>
      </c>
      <c r="O26" s="45" t="s">
        <v>1161</v>
      </c>
      <c r="P26" s="289"/>
      <c r="Q26" s="58" t="s">
        <v>820</v>
      </c>
      <c r="R26" s="45" t="s">
        <v>1162</v>
      </c>
      <c r="S26" s="289"/>
      <c r="T26" s="58"/>
      <c r="U26" s="45" t="s">
        <v>821</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383" priority="5" operator="containsText" text="Finalizado">
      <formula>NOT(ISERROR(SEARCH("Finalizado",D15)))</formula>
    </cfRule>
    <cfRule type="containsText" dxfId="382" priority="6" operator="containsText" text="No Planificado">
      <formula>NOT(ISERROR(SEARCH("No Planificado",D15)))</formula>
    </cfRule>
    <cfRule type="containsText" dxfId="381" priority="7" operator="containsText" text="A Tiempo">
      <formula>NOT(ISERROR(SEARCH("A Tiempo",D15)))</formula>
    </cfRule>
    <cfRule type="containsText" dxfId="380" priority="8" operator="containsText" text="Retrasado">
      <formula>NOT(ISERROR(SEARCH("Retrasado",D15)))</formula>
    </cfRule>
  </conditionalFormatting>
  <conditionalFormatting sqref="F7:F8">
    <cfRule type="iconSet" priority="12">
      <iconSet showValue="0">
        <cfvo type="percent" val="0"/>
        <cfvo type="num" val="2"/>
        <cfvo type="num" val="3"/>
      </iconSet>
    </cfRule>
  </conditionalFormatting>
  <conditionalFormatting sqref="F12 F14">
    <cfRule type="iconSet" priority="10">
      <iconSet showValue="0">
        <cfvo type="percent" val="0"/>
        <cfvo type="num" val="2"/>
        <cfvo type="num" val="3"/>
      </iconSet>
    </cfRule>
  </conditionalFormatting>
  <conditionalFormatting sqref="G7:I8">
    <cfRule type="iconSet" priority="11">
      <iconSet showValue="0">
        <cfvo type="percent" val="0"/>
        <cfvo type="num" val="2"/>
        <cfvo type="num" val="3"/>
      </iconSet>
    </cfRule>
  </conditionalFormatting>
  <conditionalFormatting sqref="G12:I12 G14:I14">
    <cfRule type="iconSet" priority="9">
      <iconSet showValue="0">
        <cfvo type="percent" val="0"/>
        <cfvo type="num" val="2"/>
        <cfvo type="num" val="3"/>
      </iconSet>
    </cfRule>
  </conditionalFormatting>
  <conditionalFormatting sqref="K24">
    <cfRule type="iconSet" priority="1">
      <iconSet showValue="0">
        <cfvo type="percent" val="0"/>
        <cfvo type="num" val="2"/>
        <cfvo type="num" val="3"/>
      </iconSet>
    </cfRule>
  </conditionalFormatting>
  <conditionalFormatting sqref="K25:L25">
    <cfRule type="containsText" dxfId="379" priority="23" operator="containsText" text="PENDIENTE">
      <formula>NOT(ISERROR(SEARCH("PENDIENTE",K25)))</formula>
    </cfRule>
    <cfRule type="containsText" dxfId="378" priority="24" operator="containsText" text="NO VALIDADO">
      <formula>NOT(ISERROR(SEARCH("NO VALIDADO",K25)))</formula>
    </cfRule>
    <cfRule type="containsText" dxfId="377" priority="25" operator="containsText" text="VALIDADO">
      <formula>NOT(ISERROR(SEARCH("VALIDADO",K25)))</formula>
    </cfRule>
  </conditionalFormatting>
  <conditionalFormatting sqref="L24 N24:O24 R24 T24:U24">
    <cfRule type="iconSet" priority="13">
      <iconSet showValue="0">
        <cfvo type="percent" val="0"/>
        <cfvo type="num" val="2"/>
        <cfvo type="num" val="3"/>
      </iconSet>
    </cfRule>
  </conditionalFormatting>
  <conditionalFormatting sqref="N25:O25">
    <cfRule type="containsText" dxfId="376" priority="20" operator="containsText" text="PENDIENTE">
      <formula>NOT(ISERROR(SEARCH("PENDIENTE",N25)))</formula>
    </cfRule>
    <cfRule type="containsText" dxfId="375" priority="21" operator="containsText" text="NO VALIDADO">
      <formula>NOT(ISERROR(SEARCH("NO VALIDADO",N25)))</formula>
    </cfRule>
    <cfRule type="containsText" dxfId="374" priority="22" operator="containsText" text="VALIDADO">
      <formula>NOT(ISERROR(SEARCH("VALIDADO",N25)))</formula>
    </cfRule>
  </conditionalFormatting>
  <conditionalFormatting sqref="Q24">
    <cfRule type="iconSet" priority="2">
      <iconSet showValue="0">
        <cfvo type="percent" val="0"/>
        <cfvo type="num" val="2"/>
        <cfvo type="num" val="3"/>
      </iconSet>
    </cfRule>
  </conditionalFormatting>
  <conditionalFormatting sqref="Q25:R25">
    <cfRule type="containsText" dxfId="373" priority="17" operator="containsText" text="PENDIENTE">
      <formula>NOT(ISERROR(SEARCH("PENDIENTE",Q25)))</formula>
    </cfRule>
    <cfRule type="containsText" dxfId="372" priority="18" operator="containsText" text="NO VALIDADO">
      <formula>NOT(ISERROR(SEARCH("NO VALIDADO",Q25)))</formula>
    </cfRule>
    <cfRule type="containsText" dxfId="371" priority="19" operator="containsText" text="VALIDADO">
      <formula>NOT(ISERROR(SEARCH("VALIDADO",Q25)))</formula>
    </cfRule>
  </conditionalFormatting>
  <conditionalFormatting sqref="T25:U25">
    <cfRule type="containsText" dxfId="370" priority="14" operator="containsText" text="PENDIENTE">
      <formula>NOT(ISERROR(SEARCH("PENDIENTE",T25)))</formula>
    </cfRule>
    <cfRule type="containsText" dxfId="369" priority="15" operator="containsText" text="NO VALIDADO">
      <formula>NOT(ISERROR(SEARCH("NO VALIDADO",T25)))</formula>
    </cfRule>
    <cfRule type="containsText" dxfId="368" priority="16" operator="containsText" text="VALIDADO">
      <formula>NOT(ISERROR(SEARCH("VALIDADO",T25)))</formula>
    </cfRule>
  </conditionalFormatting>
  <dataValidations count="6">
    <dataValidation type="list" allowBlank="1" showInputMessage="1" showErrorMessage="1" sqref="D10" xr:uid="{6CE11D40-3E15-4449-8E55-F64EC06A8BEF}">
      <formula1>"No Cumple, Parcial,Cumple,Más que Cumple,Mejor Práctica"</formula1>
    </dataValidation>
    <dataValidation type="list" allowBlank="1" showInputMessage="1" showErrorMessage="1" sqref="S10 Q10" xr:uid="{8BD41F5E-E0CE-4954-87BE-2C39A4EEFEDA}">
      <formula1>"Junio,Julio,Agosto,Septiembre,Octubre"</formula1>
    </dataValidation>
    <dataValidation type="list" allowBlank="1" showInputMessage="1" showErrorMessage="1" sqref="O10" xr:uid="{D116A50A-C91E-430B-B33D-5BADA19683C6}">
      <formula1>"Alta,Baja,No Planificado"</formula1>
    </dataValidation>
    <dataValidation type="list" allowBlank="1" showInputMessage="1" showErrorMessage="1" sqref="AB14:AB15 R14:R15 N14:N15 V14:V15" xr:uid="{E536F6D8-3F2B-468C-B4CD-65F4319D9A76}">
      <formula1>"No Cumple, Parcial, Cumple, Más que Cumple, Mejor Práctica"</formula1>
    </dataValidation>
    <dataValidation type="list" allowBlank="1" showInputMessage="1" showErrorMessage="1" sqref="M12 Q12 U12" xr:uid="{187C69D8-FA2B-4085-AACA-807E3523E16F}">
      <formula1>"Mayo,Junio,Julio,Agosto,Septiembre,Octubre"</formula1>
    </dataValidation>
    <dataValidation type="list" allowBlank="1" showInputMessage="1" showErrorMessage="1" sqref="K14:K15 O14:O15 S14:S15" xr:uid="{A2F540A2-4B5C-4E42-AF63-F69C3ACB79AE}">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3" id="{3DF8AF2E-A2EE-4ED0-832F-592BCF33D4AE}">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F90C7-99D4-4E78-B6FA-BCF4466F1EAD}">
  <sheetPr codeName="Planilha54"/>
  <dimension ref="A1:AB51"/>
  <sheetViews>
    <sheetView showGridLines="0" zoomScale="50" zoomScaleNormal="50" workbookViewId="0">
      <pane xSplit="3" ySplit="4" topLeftCell="D19" activePane="bottomRight" state="frozen"/>
      <selection activeCell="C16" sqref="C16"/>
      <selection pane="topRight" activeCell="C16" sqref="C16"/>
      <selection pane="bottomLeft" activeCell="C16" sqref="C16"/>
      <selection pane="bottomRight"/>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822</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1.0000000000000002E-2</v>
      </c>
      <c r="F7" s="48">
        <f>IF($K$24&lt;&gt;"",IF($K$24=3,3,IF($K$24=2,2,1)),"")</f>
        <v>3</v>
      </c>
      <c r="G7" s="48">
        <f>IF($N$24&lt;&gt;"",IF($N$24=3,3,IF($N$24=2,2,1)),"")</f>
        <v>1</v>
      </c>
      <c r="H7" s="48">
        <f>IF($Q$24&lt;&gt;"",IF($Q$24=3,3,IF($Q$24=2,2,1)),"")</f>
        <v>3</v>
      </c>
      <c r="I7" s="48" t="str">
        <f>IF($T$24&lt;&gt;"",IF($T$24=3,3,IF($T$24=2,2,1)),"")</f>
        <v/>
      </c>
      <c r="J7" s="32"/>
      <c r="K7" s="49" t="s">
        <v>224</v>
      </c>
      <c r="L7" s="46" t="s">
        <v>225</v>
      </c>
      <c r="M7" s="267" t="s">
        <v>823</v>
      </c>
      <c r="N7" s="267"/>
      <c r="O7" s="267"/>
      <c r="P7" s="46" t="s">
        <v>227</v>
      </c>
      <c r="Q7" s="267" t="s">
        <v>824</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2.1250000000000002E-2</v>
      </c>
      <c r="F10" s="52" t="str">
        <f>IF(K20="D","D","-")</f>
        <v>D</v>
      </c>
      <c r="G10" s="52" t="str">
        <f>IF(N20="D","D","-")</f>
        <v>D</v>
      </c>
      <c r="H10" s="52" t="str">
        <f>IF(Q20="D","D","-")</f>
        <v>D</v>
      </c>
      <c r="I10" s="52" t="str">
        <f>IF(T20="D","D","-")</f>
        <v>-</v>
      </c>
      <c r="J10" s="32"/>
      <c r="K10" s="66" t="s">
        <v>230</v>
      </c>
      <c r="L10" s="50" t="s">
        <v>231</v>
      </c>
      <c r="M10" s="75">
        <v>2</v>
      </c>
      <c r="N10" s="50" t="s">
        <v>232</v>
      </c>
      <c r="O10" s="53" t="s">
        <v>302</v>
      </c>
      <c r="P10" s="50" t="s">
        <v>233</v>
      </c>
      <c r="Q10" s="92" t="s">
        <v>321</v>
      </c>
      <c r="R10" s="50" t="s">
        <v>235</v>
      </c>
      <c r="S10" s="92" t="s">
        <v>303</v>
      </c>
      <c r="T10" s="50" t="s">
        <v>237</v>
      </c>
      <c r="U10" s="53" t="s">
        <v>809</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1.7499999999999998E-2</v>
      </c>
      <c r="F12" s="268">
        <f>IF($L$24&lt;&gt;"",IF($L$24=3,3,IF($L$24=2,2,1)),"")</f>
        <v>3</v>
      </c>
      <c r="G12" s="268">
        <f>IF($O$24&lt;&gt;"",IF($O$24=3,3,IF($O$24=2,2,1)),"")</f>
        <v>3</v>
      </c>
      <c r="H12" s="268">
        <f>IF($R$24&lt;&gt;"",IF($R$24=3,3,IF($R$24=2,2,1)),"")</f>
        <v>2</v>
      </c>
      <c r="I12" s="268">
        <f>IF($U$24&lt;&gt;"",IF($U$24=3,3,IF($U$24=2,2,1)),"")</f>
        <v>3</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275</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2.5000000000000001E-2</v>
      </c>
      <c r="F18" s="116"/>
      <c r="G18" s="116"/>
      <c r="H18" s="116"/>
      <c r="I18" s="116"/>
      <c r="J18" s="9"/>
      <c r="K18" s="266" t="s">
        <v>825</v>
      </c>
      <c r="L18" s="264"/>
      <c r="M18" s="265"/>
      <c r="N18" s="266" t="s">
        <v>826</v>
      </c>
      <c r="O18" s="264"/>
      <c r="P18" s="265"/>
      <c r="Q18" s="266" t="s">
        <v>827</v>
      </c>
      <c r="R18" s="264"/>
      <c r="S18" s="265"/>
      <c r="T18" s="266" t="s">
        <v>828</v>
      </c>
      <c r="U18" s="264"/>
      <c r="V18" s="265"/>
      <c r="W18" s="9"/>
      <c r="X18" s="9"/>
      <c r="Y18" s="23"/>
    </row>
    <row r="19" spans="1:25" ht="141.75" customHeight="1" outlineLevel="2" x14ac:dyDescent="0.3">
      <c r="A19" s="1"/>
      <c r="B19" s="283"/>
      <c r="C19" s="283"/>
      <c r="D19" s="42" t="s">
        <v>257</v>
      </c>
      <c r="E19" s="307" t="s">
        <v>829</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148</v>
      </c>
      <c r="F20" s="288"/>
      <c r="G20" s="288"/>
      <c r="H20" s="288"/>
      <c r="I20" s="288"/>
      <c r="J20" s="25"/>
      <c r="K20" s="266" t="s">
        <v>260</v>
      </c>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830</v>
      </c>
      <c r="L21" s="264"/>
      <c r="M21" s="265"/>
      <c r="N21" s="266" t="s">
        <v>831</v>
      </c>
      <c r="O21" s="264"/>
      <c r="P21" s="265"/>
      <c r="Q21" s="266" t="s">
        <v>443</v>
      </c>
      <c r="R21" s="264"/>
      <c r="S21" s="265"/>
      <c r="T21" s="266" t="s">
        <v>367</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t="s">
        <v>832</v>
      </c>
      <c r="N24" s="56">
        <v>1</v>
      </c>
      <c r="O24" s="40">
        <v>3</v>
      </c>
      <c r="P24" s="289"/>
      <c r="Q24" s="56">
        <v>3</v>
      </c>
      <c r="R24" s="40">
        <v>2</v>
      </c>
      <c r="S24" s="289"/>
      <c r="T24" s="56"/>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833</v>
      </c>
      <c r="L26" s="45" t="s">
        <v>1163</v>
      </c>
      <c r="M26" s="289"/>
      <c r="N26" s="58" t="s">
        <v>834</v>
      </c>
      <c r="O26" s="45" t="s">
        <v>1164</v>
      </c>
      <c r="P26" s="289"/>
      <c r="Q26" s="58" t="s">
        <v>835</v>
      </c>
      <c r="R26" s="45" t="s">
        <v>1165</v>
      </c>
      <c r="S26" s="289"/>
      <c r="T26" s="58"/>
      <c r="U26" s="45" t="s">
        <v>836</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367" priority="6" operator="containsText" text="Finalizado">
      <formula>NOT(ISERROR(SEARCH("Finalizado",D15)))</formula>
    </cfRule>
    <cfRule type="containsText" dxfId="366" priority="7" operator="containsText" text="No Planificado">
      <formula>NOT(ISERROR(SEARCH("No Planificado",D15)))</formula>
    </cfRule>
    <cfRule type="containsText" dxfId="365" priority="8" operator="containsText" text="A Tiempo">
      <formula>NOT(ISERROR(SEARCH("A Tiempo",D15)))</formula>
    </cfRule>
    <cfRule type="containsText" dxfId="364" priority="9" operator="containsText" text="Retrasado">
      <formula>NOT(ISERROR(SEARCH("Retrasado",D15)))</formula>
    </cfRule>
  </conditionalFormatting>
  <conditionalFormatting sqref="F7:F8">
    <cfRule type="iconSet" priority="13">
      <iconSet showValue="0">
        <cfvo type="percent" val="0"/>
        <cfvo type="num" val="2"/>
        <cfvo type="num" val="3"/>
      </iconSet>
    </cfRule>
  </conditionalFormatting>
  <conditionalFormatting sqref="F12 F14">
    <cfRule type="iconSet" priority="11">
      <iconSet showValue="0">
        <cfvo type="percent" val="0"/>
        <cfvo type="num" val="2"/>
        <cfvo type="num" val="3"/>
      </iconSet>
    </cfRule>
  </conditionalFormatting>
  <conditionalFormatting sqref="G7:I8">
    <cfRule type="iconSet" priority="12">
      <iconSet showValue="0">
        <cfvo type="percent" val="0"/>
        <cfvo type="num" val="2"/>
        <cfvo type="num" val="3"/>
      </iconSet>
    </cfRule>
  </conditionalFormatting>
  <conditionalFormatting sqref="G12:I12 G14:I14">
    <cfRule type="iconSet" priority="10">
      <iconSet showValue="0">
        <cfvo type="percent" val="0"/>
        <cfvo type="num" val="2"/>
        <cfvo type="num" val="3"/>
      </iconSet>
    </cfRule>
  </conditionalFormatting>
  <conditionalFormatting sqref="K24">
    <cfRule type="iconSet" priority="4">
      <iconSet showValue="0">
        <cfvo type="percent" val="0"/>
        <cfvo type="num" val="2"/>
        <cfvo type="num" val="3"/>
      </iconSet>
    </cfRule>
  </conditionalFormatting>
  <conditionalFormatting sqref="K25:L25">
    <cfRule type="containsText" dxfId="363" priority="24" operator="containsText" text="PENDIENTE">
      <formula>NOT(ISERROR(SEARCH("PENDIENTE",K25)))</formula>
    </cfRule>
    <cfRule type="containsText" dxfId="362" priority="25" operator="containsText" text="NO VALIDADO">
      <formula>NOT(ISERROR(SEARCH("NO VALIDADO",K25)))</formula>
    </cfRule>
    <cfRule type="containsText" dxfId="361" priority="26" operator="containsText" text="VALIDADO">
      <formula>NOT(ISERROR(SEARCH("VALIDADO",K25)))</formula>
    </cfRule>
  </conditionalFormatting>
  <conditionalFormatting sqref="L24 O24 R24 T24:U24">
    <cfRule type="iconSet" priority="14">
      <iconSet showValue="0">
        <cfvo type="percent" val="0"/>
        <cfvo type="num" val="2"/>
        <cfvo type="num" val="3"/>
      </iconSet>
    </cfRule>
  </conditionalFormatting>
  <conditionalFormatting sqref="N24">
    <cfRule type="iconSet" priority="2">
      <iconSet showValue="0">
        <cfvo type="percent" val="0"/>
        <cfvo type="num" val="2"/>
        <cfvo type="num" val="3"/>
      </iconSet>
    </cfRule>
  </conditionalFormatting>
  <conditionalFormatting sqref="N25:O25">
    <cfRule type="containsText" dxfId="360" priority="21" operator="containsText" text="PENDIENTE">
      <formula>NOT(ISERROR(SEARCH("PENDIENTE",N25)))</formula>
    </cfRule>
    <cfRule type="containsText" dxfId="359" priority="22" operator="containsText" text="NO VALIDADO">
      <formula>NOT(ISERROR(SEARCH("NO VALIDADO",N25)))</formula>
    </cfRule>
    <cfRule type="containsText" dxfId="358" priority="23" operator="containsText" text="VALIDADO">
      <formula>NOT(ISERROR(SEARCH("VALIDADO",N25)))</formula>
    </cfRule>
  </conditionalFormatting>
  <conditionalFormatting sqref="Q24">
    <cfRule type="iconSet" priority="3">
      <iconSet showValue="0">
        <cfvo type="percent" val="0"/>
        <cfvo type="num" val="2"/>
        <cfvo type="num" val="3"/>
      </iconSet>
    </cfRule>
  </conditionalFormatting>
  <conditionalFormatting sqref="Q25:R25">
    <cfRule type="containsText" dxfId="357" priority="18" operator="containsText" text="PENDIENTE">
      <formula>NOT(ISERROR(SEARCH("PENDIENTE",Q25)))</formula>
    </cfRule>
    <cfRule type="containsText" dxfId="356" priority="19" operator="containsText" text="NO VALIDADO">
      <formula>NOT(ISERROR(SEARCH("NO VALIDADO",Q25)))</formula>
    </cfRule>
    <cfRule type="containsText" dxfId="355" priority="20" operator="containsText" text="VALIDADO">
      <formula>NOT(ISERROR(SEARCH("VALIDADO",Q25)))</formula>
    </cfRule>
  </conditionalFormatting>
  <conditionalFormatting sqref="T25:U25">
    <cfRule type="containsText" dxfId="354" priority="15" operator="containsText" text="PENDIENTE">
      <formula>NOT(ISERROR(SEARCH("PENDIENTE",T25)))</formula>
    </cfRule>
    <cfRule type="containsText" dxfId="353" priority="16" operator="containsText" text="NO VALIDADO">
      <formula>NOT(ISERROR(SEARCH("NO VALIDADO",T25)))</formula>
    </cfRule>
    <cfRule type="containsText" dxfId="352" priority="17" operator="containsText" text="VALIDADO">
      <formula>NOT(ISERROR(SEARCH("VALIDADO",T25)))</formula>
    </cfRule>
  </conditionalFormatting>
  <dataValidations count="6">
    <dataValidation type="list" allowBlank="1" showInputMessage="1" showErrorMessage="1" sqref="K14:K15 O14:O15 S14:S15" xr:uid="{DF351C45-23F4-45C6-ACD1-554E000C52C9}">
      <formula1>"No Iniciado, En Progreso,Finalizado"</formula1>
    </dataValidation>
    <dataValidation type="list" allowBlank="1" showInputMessage="1" showErrorMessage="1" sqref="M12 Q12 U12" xr:uid="{EDA978FE-C128-4804-8500-33762B254114}">
      <formula1>"Mayo,Junio,Julio,Agosto,Septiembre,Octubre"</formula1>
    </dataValidation>
    <dataValidation type="list" allowBlank="1" showInputMessage="1" showErrorMessage="1" sqref="AB14:AB15 R14:R15 N14:N15 V14:V15" xr:uid="{F4418241-2C82-4D8D-8AFA-BA4DE5143193}">
      <formula1>"No Cumple, Parcial, Cumple, Más que Cumple, Mejor Práctica"</formula1>
    </dataValidation>
    <dataValidation type="list" allowBlank="1" showInputMessage="1" showErrorMessage="1" sqref="O10" xr:uid="{37FBEB69-C61D-4824-96BF-7BD38DC19B0A}">
      <formula1>"Alta,Baja,No Planificado"</formula1>
    </dataValidation>
    <dataValidation type="list" allowBlank="1" showInputMessage="1" showErrorMessage="1" sqref="S10 Q10" xr:uid="{F351AE44-9F70-4AD4-8C65-837B90094E46}">
      <formula1>"Junio,Julio,Agosto,Septiembre,Octubre"</formula1>
    </dataValidation>
    <dataValidation type="list" allowBlank="1" showInputMessage="1" showErrorMessage="1" sqref="D10" xr:uid="{E3E88252-2297-419C-B2D4-5065B570C5DA}">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89B73F0-FE08-42C3-99E1-927C8D2E3751}">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0DBBD-6EF3-455F-A389-3ED19FD6D7E7}">
  <sheetPr codeName="Planilha55"/>
  <dimension ref="A1:AC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1" width="2.140625" customWidth="1"/>
    <col min="12" max="24" width="23" customWidth="1"/>
    <col min="25" max="25" width="17" hidden="1" customWidth="1"/>
    <col min="26" max="26" width="16.42578125" hidden="1" customWidth="1"/>
    <col min="27" max="27" width="10.5703125" hidden="1" customWidth="1"/>
    <col min="28" max="28" width="16.85546875" hidden="1" customWidth="1"/>
    <col min="29" max="29" width="14.5703125" hidden="1" customWidth="1"/>
  </cols>
  <sheetData>
    <row r="1" spans="1:29"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9"/>
      <c r="AA1" s="19"/>
      <c r="AB1" s="19"/>
    </row>
    <row r="2" spans="1:29" ht="43.5" customHeight="1" x14ac:dyDescent="0.35">
      <c r="A2" s="1"/>
      <c r="C2" s="11"/>
      <c r="D2" s="275" t="s">
        <v>0</v>
      </c>
      <c r="E2" s="275"/>
      <c r="F2" s="275"/>
      <c r="G2" s="275"/>
      <c r="H2" s="275"/>
      <c r="I2" s="275"/>
      <c r="J2" s="62"/>
      <c r="K2" s="62"/>
      <c r="L2" s="62"/>
      <c r="M2" s="62"/>
      <c r="N2" s="62"/>
      <c r="O2" s="62"/>
      <c r="P2" s="62"/>
      <c r="Q2" s="62"/>
      <c r="R2" s="62"/>
      <c r="S2" s="62"/>
      <c r="T2" s="62"/>
      <c r="U2" s="62"/>
      <c r="V2" s="62"/>
      <c r="W2" s="62"/>
      <c r="X2" s="11"/>
      <c r="Y2" s="11"/>
      <c r="Z2" s="20"/>
      <c r="AA2" s="20"/>
      <c r="AB2" s="20"/>
    </row>
    <row r="3" spans="1:29" ht="19.5" customHeight="1" x14ac:dyDescent="0.25">
      <c r="A3" s="1"/>
      <c r="C3" s="10"/>
      <c r="D3" s="276" t="s">
        <v>1</v>
      </c>
      <c r="E3" s="276"/>
      <c r="F3" s="276"/>
      <c r="G3" s="276"/>
      <c r="H3" s="276"/>
      <c r="I3" s="276"/>
      <c r="J3" s="63"/>
      <c r="K3" s="63"/>
      <c r="L3" s="316" t="s">
        <v>837</v>
      </c>
      <c r="M3" s="316"/>
      <c r="N3" s="316"/>
      <c r="O3" s="316"/>
      <c r="P3" s="316"/>
      <c r="Q3" s="316"/>
      <c r="R3" s="316"/>
      <c r="S3" s="316"/>
      <c r="T3" s="316"/>
      <c r="U3" s="63"/>
      <c r="V3" s="63"/>
      <c r="W3" s="63"/>
      <c r="X3" s="10"/>
      <c r="Y3" s="10"/>
      <c r="Z3" s="12"/>
      <c r="AA3" s="12"/>
      <c r="AB3" s="12"/>
    </row>
    <row r="4" spans="1:29" ht="35.25" customHeight="1" x14ac:dyDescent="0.25">
      <c r="A4" s="1"/>
      <c r="B4" s="1"/>
      <c r="C4" s="10"/>
      <c r="D4" s="277"/>
      <c r="E4" s="277"/>
      <c r="F4" s="277"/>
      <c r="G4" s="277"/>
      <c r="H4" s="277"/>
      <c r="I4" s="277"/>
      <c r="J4" s="61"/>
      <c r="K4" s="61"/>
      <c r="L4" s="317"/>
      <c r="M4" s="317"/>
      <c r="N4" s="317"/>
      <c r="O4" s="317"/>
      <c r="P4" s="317"/>
      <c r="Q4" s="317"/>
      <c r="R4" s="317"/>
      <c r="S4" s="317"/>
      <c r="T4" s="317"/>
      <c r="U4" s="61"/>
      <c r="V4" s="61"/>
      <c r="W4" s="61"/>
      <c r="X4" s="61"/>
      <c r="Y4" s="14"/>
      <c r="Z4" s="21"/>
      <c r="AA4" s="22"/>
      <c r="AB4" s="22"/>
    </row>
    <row r="5" spans="1:29" ht="33" x14ac:dyDescent="0.45">
      <c r="A5" s="1"/>
      <c r="B5" s="15"/>
      <c r="C5" s="13"/>
      <c r="D5" s="237" t="s">
        <v>220</v>
      </c>
      <c r="E5" s="237"/>
      <c r="F5" s="237"/>
      <c r="G5" s="237"/>
      <c r="H5" s="237"/>
      <c r="I5" s="237"/>
      <c r="J5" s="26"/>
      <c r="K5" s="26"/>
      <c r="L5" s="237" t="s">
        <v>221</v>
      </c>
      <c r="M5" s="237"/>
      <c r="N5" s="237"/>
      <c r="O5" s="237"/>
      <c r="P5" s="237"/>
      <c r="Q5" s="237"/>
      <c r="R5" s="237"/>
      <c r="S5" s="237"/>
      <c r="T5" s="27"/>
      <c r="U5" s="25"/>
      <c r="V5" s="25"/>
      <c r="W5" s="25"/>
      <c r="X5" s="9"/>
      <c r="Y5" s="9"/>
      <c r="Z5" s="23"/>
    </row>
    <row r="6" spans="1:29" ht="33" customHeight="1" x14ac:dyDescent="0.55000000000000004">
      <c r="A6" s="1"/>
      <c r="B6" s="15"/>
      <c r="C6" s="15"/>
      <c r="D6" s="28" t="s">
        <v>193</v>
      </c>
      <c r="E6" s="28" t="s">
        <v>53</v>
      </c>
      <c r="F6" s="28" t="s">
        <v>56</v>
      </c>
      <c r="G6" s="28" t="s">
        <v>57</v>
      </c>
      <c r="H6" s="28" t="s">
        <v>58</v>
      </c>
      <c r="I6" s="28" t="s">
        <v>59</v>
      </c>
      <c r="J6" s="29"/>
      <c r="K6" s="29"/>
      <c r="L6" s="44" t="s">
        <v>222</v>
      </c>
      <c r="M6" s="67"/>
      <c r="N6" s="30"/>
      <c r="O6" s="30"/>
      <c r="P6" s="30"/>
      <c r="Q6" s="30"/>
      <c r="R6" s="30"/>
      <c r="S6" s="31"/>
      <c r="T6" s="31"/>
      <c r="U6" s="25"/>
      <c r="V6" s="25"/>
      <c r="W6" s="25"/>
      <c r="X6" s="9"/>
      <c r="Y6" s="9"/>
      <c r="Z6" s="23"/>
    </row>
    <row r="7" spans="1:29"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IF($L$24&lt;&gt;"",IF($L$24=3,3,IF($L$24=2,2,1)),"")</f>
        <v>2</v>
      </c>
      <c r="G7" s="48">
        <f>IF($O$24&lt;&gt;"",IF($O$24=3,3,IF($O$24=2,2,1)),"")</f>
        <v>3</v>
      </c>
      <c r="H7" s="48" t="str">
        <f>IF($R$24&lt;&gt;"",IF($R$24=3,3,IF($R$24=2,2,1)),"")</f>
        <v/>
      </c>
      <c r="I7" s="48" t="str">
        <f>IF($U$24&lt;&gt;"",IF($U$24=3,3,IF($U$24=2,2,1)),"")</f>
        <v/>
      </c>
      <c r="J7" s="32"/>
      <c r="K7" s="32"/>
      <c r="L7" s="46" t="s">
        <v>225</v>
      </c>
      <c r="M7" s="267" t="s">
        <v>838</v>
      </c>
      <c r="N7" s="267"/>
      <c r="O7" s="267"/>
      <c r="P7" s="46" t="s">
        <v>227</v>
      </c>
      <c r="Q7" s="267" t="s">
        <v>839</v>
      </c>
      <c r="R7" s="267"/>
      <c r="S7" s="267"/>
      <c r="U7" s="25"/>
      <c r="V7" s="25"/>
      <c r="W7" s="25"/>
      <c r="X7" s="9"/>
      <c r="Y7" s="9"/>
      <c r="Z7" s="23"/>
    </row>
    <row r="8" spans="1:29" ht="14.25" customHeight="1" outlineLevel="1" x14ac:dyDescent="0.3">
      <c r="A8" s="1"/>
      <c r="B8" s="65"/>
      <c r="C8" s="65"/>
      <c r="D8" s="68"/>
      <c r="E8" s="47"/>
      <c r="F8" s="48"/>
      <c r="G8" s="48"/>
      <c r="H8" s="48"/>
      <c r="I8" s="48"/>
      <c r="J8" s="32"/>
      <c r="K8" s="32"/>
      <c r="L8" s="46"/>
      <c r="M8" s="267"/>
      <c r="N8" s="267"/>
      <c r="O8" s="267"/>
      <c r="P8" s="46"/>
      <c r="Q8" s="267"/>
      <c r="R8" s="267"/>
      <c r="S8" s="267"/>
      <c r="U8" s="25"/>
      <c r="V8" s="25"/>
      <c r="W8" s="25"/>
      <c r="X8" s="9"/>
      <c r="Y8" s="9"/>
      <c r="Z8" s="23"/>
    </row>
    <row r="9" spans="1:29"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33"/>
      <c r="X9" s="1"/>
      <c r="Y9" s="1"/>
    </row>
    <row r="10" spans="1:29" ht="59.25" customHeight="1" outlineLevel="1" x14ac:dyDescent="0.3">
      <c r="A10" s="1"/>
      <c r="B10" s="269" t="s">
        <v>228</v>
      </c>
      <c r="C10" s="269"/>
      <c r="D10" s="111" t="s">
        <v>248</v>
      </c>
      <c r="E10" s="51">
        <f>IF($D10="Não cumpre",0,IF($D10="Parcial",$E$18*0.4,IF($D10="Cumpre",$E$18*0.7,IF($D10="Mais que cumpre",$E$18*0.85,IF($D10="Melhor Prática",$E$18,0)))))</f>
        <v>1.3999999999999999E-2</v>
      </c>
      <c r="F10" s="52" t="str">
        <f>IF(L20="D","D","-")</f>
        <v>-</v>
      </c>
      <c r="G10" s="52" t="str">
        <f>IF(O20="D","D","-")</f>
        <v>D</v>
      </c>
      <c r="H10" s="52" t="str">
        <f>IF(R20="D","D","-")</f>
        <v>-</v>
      </c>
      <c r="I10" s="52" t="str">
        <f>IF(U20="D","D","-")</f>
        <v>-</v>
      </c>
      <c r="J10" s="32"/>
      <c r="K10" s="32"/>
      <c r="L10" s="50" t="s">
        <v>231</v>
      </c>
      <c r="M10" s="75">
        <v>2</v>
      </c>
      <c r="N10" s="50" t="s">
        <v>232</v>
      </c>
      <c r="O10" s="53" t="s">
        <v>374</v>
      </c>
      <c r="P10" s="50" t="s">
        <v>233</v>
      </c>
      <c r="Q10" s="92" t="s">
        <v>286</v>
      </c>
      <c r="R10" s="50" t="s">
        <v>235</v>
      </c>
      <c r="S10" s="92" t="s">
        <v>303</v>
      </c>
      <c r="T10" s="50" t="s">
        <v>237</v>
      </c>
      <c r="U10" s="53" t="s">
        <v>840</v>
      </c>
      <c r="V10" s="53"/>
      <c r="W10" s="25"/>
      <c r="X10" s="9"/>
      <c r="Y10" s="9"/>
      <c r="Z10" s="23"/>
    </row>
    <row r="11" spans="1:29" ht="20.25" x14ac:dyDescent="0.3">
      <c r="A11" s="1"/>
      <c r="B11" s="17"/>
      <c r="C11" s="17"/>
      <c r="D11" s="36"/>
      <c r="E11" s="31"/>
      <c r="F11" s="37"/>
      <c r="G11" s="37"/>
      <c r="H11" s="37"/>
      <c r="I11" s="37"/>
      <c r="J11" s="31"/>
      <c r="K11" s="31"/>
      <c r="L11" s="25"/>
      <c r="M11" s="25"/>
      <c r="N11" s="25"/>
      <c r="O11" s="25"/>
      <c r="P11" s="25"/>
      <c r="Q11" s="25"/>
      <c r="R11" s="25"/>
      <c r="S11" s="25"/>
      <c r="T11" s="25"/>
      <c r="U11" s="25"/>
      <c r="V11" s="25"/>
      <c r="W11" s="25"/>
      <c r="X11" s="9"/>
      <c r="Y11" s="9"/>
      <c r="Z11" s="23"/>
    </row>
    <row r="12" spans="1:29"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1.3999999999999999E-2</v>
      </c>
      <c r="F12" s="268">
        <f>IF($M$24&lt;&gt;"",IF($M$24=3,3,IF($M$24=2,2,1)),"")</f>
        <v>3</v>
      </c>
      <c r="G12" s="268">
        <f>IF($P$24&lt;&gt;"",IF($P$24=3,3,IF($P$24=2,2,1)),"")</f>
        <v>3</v>
      </c>
      <c r="H12" s="268" t="str">
        <f>IF($S$24&lt;&gt;"",IF($S$24=3,3,IF($S$24=2,2,1)),"")</f>
        <v/>
      </c>
      <c r="I12" s="268" t="str">
        <f>IF($V$24&lt;&gt;"",IF($V$24=3,3,IF($V$24=2,2,1)),"")</f>
        <v/>
      </c>
      <c r="J12" s="32"/>
      <c r="K12" s="32"/>
      <c r="L12" s="300" t="s">
        <v>240</v>
      </c>
      <c r="M12" s="274"/>
      <c r="N12" s="280"/>
      <c r="O12" s="299"/>
      <c r="P12" s="300" t="s">
        <v>240</v>
      </c>
      <c r="Q12" s="274"/>
      <c r="R12" s="280"/>
      <c r="S12" s="299"/>
      <c r="T12" s="274" t="s">
        <v>240</v>
      </c>
      <c r="U12" s="274"/>
      <c r="V12" s="305"/>
      <c r="W12" s="305"/>
      <c r="X12" s="9"/>
      <c r="Y12" s="9"/>
      <c r="Z12" s="23"/>
      <c r="AA12" s="2"/>
      <c r="AB12" s="2"/>
      <c r="AC12" s="2"/>
    </row>
    <row r="13" spans="1:29" ht="35.25" customHeight="1" outlineLevel="1" x14ac:dyDescent="0.25">
      <c r="A13" s="1"/>
      <c r="B13" s="271"/>
      <c r="C13" s="271"/>
      <c r="D13" s="272"/>
      <c r="E13" s="273"/>
      <c r="F13" s="268"/>
      <c r="G13" s="268"/>
      <c r="H13" s="268"/>
      <c r="I13" s="268"/>
      <c r="J13" s="32"/>
      <c r="K13" s="32"/>
      <c r="L13" s="157" t="s">
        <v>70</v>
      </c>
      <c r="M13" s="281" t="s">
        <v>242</v>
      </c>
      <c r="N13" s="281"/>
      <c r="O13" s="158" t="s">
        <v>243</v>
      </c>
      <c r="P13" s="157" t="s">
        <v>70</v>
      </c>
      <c r="Q13" s="281" t="s">
        <v>242</v>
      </c>
      <c r="R13" s="281"/>
      <c r="S13" s="158" t="s">
        <v>243</v>
      </c>
      <c r="T13" s="101" t="s">
        <v>70</v>
      </c>
      <c r="U13" s="281" t="s">
        <v>242</v>
      </c>
      <c r="V13" s="281"/>
      <c r="W13" s="101" t="s">
        <v>243</v>
      </c>
      <c r="X13" s="1"/>
      <c r="Y13" s="1"/>
      <c r="AA13" s="3"/>
      <c r="AB13" s="4"/>
      <c r="AC13" s="5"/>
    </row>
    <row r="14" spans="1:29" ht="18.75" customHeight="1" outlineLevel="1" x14ac:dyDescent="0.25">
      <c r="A14" s="1"/>
      <c r="B14" s="271"/>
      <c r="C14" s="271"/>
      <c r="D14" s="272"/>
      <c r="E14" s="273"/>
      <c r="F14" s="38"/>
      <c r="G14" s="38"/>
      <c r="H14" s="38"/>
      <c r="I14" s="38"/>
      <c r="J14" s="32"/>
      <c r="K14" s="32"/>
      <c r="L14" s="266"/>
      <c r="M14" s="286"/>
      <c r="N14" s="286"/>
      <c r="O14" s="265"/>
      <c r="P14" s="266"/>
      <c r="Q14" s="286"/>
      <c r="R14" s="286"/>
      <c r="S14" s="265"/>
      <c r="T14" s="264"/>
      <c r="U14" s="286"/>
      <c r="V14" s="286"/>
      <c r="W14" s="264"/>
      <c r="X14" s="1"/>
      <c r="Y14" s="1"/>
      <c r="AA14" s="6"/>
      <c r="AB14" s="7"/>
      <c r="AC14" s="8"/>
    </row>
    <row r="15" spans="1:29" ht="21" customHeight="1" outlineLevel="1" x14ac:dyDescent="0.25">
      <c r="A15" s="1"/>
      <c r="B15" s="271"/>
      <c r="C15" s="271"/>
      <c r="D15" s="282" t="str">
        <f>IF(T10&lt;&gt;"",IF(OR(T14="finalizado",P14="finalizado",L14="finalizado"),"Finalizado",
IF(OR(AND(T10=V12,T14&lt;&gt;"finalizado"),AND(T10=R12,P14&lt;&gt;"finalizado"),AND(T10=N12,L14&lt;&gt;"finalizado")),"Retrasado","A Tiempo")),"No Planificado")</f>
        <v>A Tiempo</v>
      </c>
      <c r="E15" s="282"/>
      <c r="F15" s="282"/>
      <c r="G15" s="282"/>
      <c r="H15" s="282"/>
      <c r="I15" s="282"/>
      <c r="J15" s="26"/>
      <c r="K15" s="26"/>
      <c r="L15" s="266"/>
      <c r="M15" s="286"/>
      <c r="N15" s="286"/>
      <c r="O15" s="265"/>
      <c r="P15" s="266"/>
      <c r="Q15" s="286"/>
      <c r="R15" s="286"/>
      <c r="S15" s="265"/>
      <c r="T15" s="264"/>
      <c r="U15" s="286"/>
      <c r="V15" s="286"/>
      <c r="W15" s="264"/>
      <c r="X15" s="1"/>
      <c r="Y15" s="1"/>
      <c r="AA15" s="6"/>
      <c r="AB15" s="7"/>
      <c r="AC15" s="7"/>
    </row>
    <row r="16" spans="1:29" ht="21" customHeight="1" x14ac:dyDescent="0.3">
      <c r="A16" s="1"/>
      <c r="B16" s="17"/>
      <c r="C16" s="17"/>
      <c r="D16" s="9"/>
      <c r="E16" s="87" t="str">
        <f>IF(COUNTA(F16:I16)=0,"NBC","BC")</f>
        <v>BC</v>
      </c>
      <c r="F16" s="87"/>
      <c r="G16" s="87" t="s">
        <v>250</v>
      </c>
      <c r="H16" s="87"/>
      <c r="I16" s="9"/>
      <c r="J16" s="16"/>
      <c r="K16" s="16"/>
      <c r="L16" s="9"/>
      <c r="M16" s="9"/>
      <c r="N16" s="9"/>
      <c r="O16" s="9"/>
      <c r="P16" s="9"/>
      <c r="Q16" s="9"/>
      <c r="R16" s="9"/>
      <c r="S16" s="9"/>
      <c r="T16" s="9"/>
      <c r="U16" s="9"/>
      <c r="V16" s="9"/>
      <c r="W16" s="9"/>
      <c r="X16" s="9"/>
      <c r="Y16" s="9"/>
      <c r="Z16" s="23"/>
    </row>
    <row r="17" spans="1:26" ht="21" customHeight="1" x14ac:dyDescent="0.3">
      <c r="A17" s="1"/>
      <c r="B17" s="17"/>
      <c r="C17" s="17"/>
      <c r="D17" s="9"/>
      <c r="E17" s="9"/>
      <c r="F17" s="9"/>
      <c r="G17" s="9"/>
      <c r="H17" s="9"/>
      <c r="I17" s="9"/>
      <c r="J17" s="16"/>
      <c r="K17" s="16"/>
      <c r="L17" s="284" t="s">
        <v>246</v>
      </c>
      <c r="M17" s="285"/>
      <c r="N17" s="290"/>
      <c r="O17" s="284" t="s">
        <v>248</v>
      </c>
      <c r="P17" s="285"/>
      <c r="Q17" s="290"/>
      <c r="R17" s="284" t="s">
        <v>229</v>
      </c>
      <c r="S17" s="285"/>
      <c r="T17" s="290"/>
      <c r="U17" s="284" t="s">
        <v>251</v>
      </c>
      <c r="V17" s="285"/>
      <c r="W17" s="290"/>
      <c r="X17" s="9"/>
      <c r="Y17" s="9"/>
      <c r="Z17" s="23"/>
    </row>
    <row r="18" spans="1:26" ht="20.25" customHeight="1" outlineLevel="2" x14ac:dyDescent="0.3">
      <c r="A18" s="1"/>
      <c r="B18" s="283" t="s">
        <v>252</v>
      </c>
      <c r="C18" s="283"/>
      <c r="D18" s="42" t="s">
        <v>53</v>
      </c>
      <c r="E18" s="39">
        <v>0.02</v>
      </c>
      <c r="F18" s="116"/>
      <c r="G18" s="116"/>
      <c r="H18" s="116"/>
      <c r="I18" s="116"/>
      <c r="J18" s="9"/>
      <c r="K18" s="9"/>
      <c r="L18" s="266" t="s">
        <v>841</v>
      </c>
      <c r="M18" s="264"/>
      <c r="N18" s="265"/>
      <c r="O18" s="266" t="s">
        <v>842</v>
      </c>
      <c r="P18" s="264"/>
      <c r="Q18" s="265"/>
      <c r="R18" s="266" t="s">
        <v>843</v>
      </c>
      <c r="S18" s="264"/>
      <c r="T18" s="265"/>
      <c r="U18" s="266" t="s">
        <v>844</v>
      </c>
      <c r="V18" s="264"/>
      <c r="W18" s="265"/>
      <c r="X18" s="9"/>
      <c r="Y18" s="9"/>
      <c r="Z18" s="23"/>
    </row>
    <row r="19" spans="1:26" ht="141.75" customHeight="1" outlineLevel="2" x14ac:dyDescent="0.3">
      <c r="A19" s="1"/>
      <c r="B19" s="283"/>
      <c r="C19" s="283"/>
      <c r="D19" s="42" t="s">
        <v>257</v>
      </c>
      <c r="E19" s="307" t="s">
        <v>845</v>
      </c>
      <c r="F19" s="307"/>
      <c r="G19" s="307"/>
      <c r="H19" s="307"/>
      <c r="I19" s="307"/>
      <c r="J19" s="25"/>
      <c r="K19" s="25"/>
      <c r="L19" s="266"/>
      <c r="M19" s="264"/>
      <c r="N19" s="265"/>
      <c r="O19" s="266"/>
      <c r="P19" s="264"/>
      <c r="Q19" s="265"/>
      <c r="R19" s="266"/>
      <c r="S19" s="264"/>
      <c r="T19" s="265"/>
      <c r="U19" s="266"/>
      <c r="V19" s="264"/>
      <c r="W19" s="265"/>
      <c r="X19" s="9"/>
      <c r="Y19" s="9"/>
      <c r="Z19" s="23"/>
    </row>
    <row r="20" spans="1:26" ht="18.75" customHeight="1" outlineLevel="2" x14ac:dyDescent="0.3">
      <c r="A20" s="1"/>
      <c r="B20" s="283"/>
      <c r="C20" s="283"/>
      <c r="D20" s="287" t="s">
        <v>74</v>
      </c>
      <c r="E20" s="288" t="s">
        <v>148</v>
      </c>
      <c r="F20" s="288"/>
      <c r="G20" s="288"/>
      <c r="H20" s="288"/>
      <c r="I20" s="288"/>
      <c r="J20" s="25"/>
      <c r="K20" s="25"/>
      <c r="L20" s="266"/>
      <c r="M20" s="264"/>
      <c r="N20" s="265"/>
      <c r="O20" s="266" t="s">
        <v>260</v>
      </c>
      <c r="P20" s="264"/>
      <c r="Q20" s="265"/>
      <c r="R20" s="266"/>
      <c r="S20" s="264"/>
      <c r="T20" s="265"/>
      <c r="U20" s="266"/>
      <c r="V20" s="264"/>
      <c r="W20" s="265"/>
      <c r="X20" s="9"/>
      <c r="Y20" s="9"/>
      <c r="Z20" s="23"/>
    </row>
    <row r="21" spans="1:26" ht="40.5" customHeight="1" outlineLevel="2" x14ac:dyDescent="0.3">
      <c r="A21" s="18">
        <v>5.0000000000000001E-3</v>
      </c>
      <c r="B21" s="283"/>
      <c r="C21" s="283"/>
      <c r="D21" s="287"/>
      <c r="E21" s="288"/>
      <c r="F21" s="288"/>
      <c r="G21" s="288"/>
      <c r="H21" s="288"/>
      <c r="I21" s="288"/>
      <c r="J21" s="25"/>
      <c r="K21" s="25"/>
      <c r="L21" s="266" t="s">
        <v>846</v>
      </c>
      <c r="M21" s="264"/>
      <c r="N21" s="265"/>
      <c r="O21" s="266" t="s">
        <v>329</v>
      </c>
      <c r="P21" s="264"/>
      <c r="Q21" s="265"/>
      <c r="R21" s="266" t="s">
        <v>847</v>
      </c>
      <c r="S21" s="264"/>
      <c r="T21" s="265"/>
      <c r="U21" s="266" t="s">
        <v>848</v>
      </c>
      <c r="V21" s="264"/>
      <c r="W21" s="265"/>
      <c r="X21" s="9"/>
      <c r="Y21" s="9"/>
      <c r="Z21" s="23"/>
    </row>
    <row r="22" spans="1:26" ht="16.5" x14ac:dyDescent="0.3">
      <c r="A22" s="1"/>
      <c r="B22" s="9"/>
      <c r="C22" s="9"/>
      <c r="D22" s="9"/>
      <c r="E22" s="9"/>
      <c r="F22" s="9"/>
      <c r="G22" s="9"/>
      <c r="H22" s="9"/>
      <c r="I22" s="9"/>
      <c r="J22" s="9"/>
      <c r="K22" s="9"/>
      <c r="L22" s="69"/>
      <c r="M22" s="9"/>
      <c r="N22" s="9"/>
      <c r="O22" s="9"/>
      <c r="P22" s="9"/>
      <c r="Q22" s="9"/>
      <c r="R22" s="9"/>
      <c r="S22" s="9"/>
      <c r="T22" s="9"/>
      <c r="U22" s="9"/>
      <c r="V22" s="9"/>
      <c r="W22" s="70"/>
      <c r="X22" s="9"/>
      <c r="Y22" s="9"/>
      <c r="Z22" s="23"/>
    </row>
    <row r="23" spans="1:26" ht="39" x14ac:dyDescent="0.3">
      <c r="A23" s="1"/>
      <c r="B23" s="9"/>
      <c r="C23" s="9"/>
      <c r="D23" s="9"/>
      <c r="G23" s="9"/>
      <c r="H23" s="9"/>
      <c r="L23" s="54" t="s">
        <v>46</v>
      </c>
      <c r="M23" s="24" t="s">
        <v>264</v>
      </c>
      <c r="N23" s="55" t="s">
        <v>265</v>
      </c>
      <c r="O23" s="54" t="s">
        <v>46</v>
      </c>
      <c r="P23" s="24" t="s">
        <v>264</v>
      </c>
      <c r="Q23" s="55" t="s">
        <v>265</v>
      </c>
      <c r="R23" s="54" t="s">
        <v>46</v>
      </c>
      <c r="S23" s="24" t="s">
        <v>264</v>
      </c>
      <c r="T23" s="55" t="s">
        <v>265</v>
      </c>
      <c r="U23" s="54" t="s">
        <v>46</v>
      </c>
      <c r="V23" s="24" t="s">
        <v>264</v>
      </c>
      <c r="W23" s="55" t="s">
        <v>265</v>
      </c>
      <c r="Y23" s="9"/>
      <c r="Z23" s="23"/>
    </row>
    <row r="24" spans="1:26" ht="36.75" customHeight="1" x14ac:dyDescent="0.3">
      <c r="A24" s="1"/>
      <c r="B24" s="9"/>
      <c r="C24" s="9"/>
      <c r="D24" s="9"/>
      <c r="F24" s="291" t="s">
        <v>266</v>
      </c>
      <c r="G24" s="292" t="s">
        <v>70</v>
      </c>
      <c r="H24" s="292"/>
      <c r="I24" s="292"/>
      <c r="L24" s="56">
        <v>2</v>
      </c>
      <c r="M24" s="40">
        <v>3</v>
      </c>
      <c r="N24" s="289"/>
      <c r="O24" s="56">
        <v>3</v>
      </c>
      <c r="P24" s="40">
        <v>3</v>
      </c>
      <c r="Q24" s="289"/>
      <c r="R24" s="56"/>
      <c r="S24" s="40"/>
      <c r="T24" s="289"/>
      <c r="U24" s="56"/>
      <c r="V24" s="40"/>
      <c r="W24" s="289"/>
      <c r="Y24" s="9"/>
      <c r="Z24" s="23"/>
    </row>
    <row r="25" spans="1:26" ht="19.5" customHeight="1" x14ac:dyDescent="0.3">
      <c r="A25" s="1"/>
      <c r="B25" s="9"/>
      <c r="C25" s="9"/>
      <c r="D25" s="9"/>
      <c r="F25" s="291"/>
      <c r="G25" s="292"/>
      <c r="H25" s="292"/>
      <c r="I25" s="292"/>
      <c r="L25" s="57"/>
      <c r="M25" s="43"/>
      <c r="N25" s="289"/>
      <c r="O25" s="57"/>
      <c r="P25" s="43"/>
      <c r="Q25" s="289"/>
      <c r="R25" s="57"/>
      <c r="S25" s="43"/>
      <c r="T25" s="289"/>
      <c r="U25" s="57"/>
      <c r="V25" s="43"/>
      <c r="W25" s="289"/>
      <c r="Y25" s="9"/>
      <c r="Z25" s="23"/>
    </row>
    <row r="26" spans="1:26" ht="208.5" customHeight="1" x14ac:dyDescent="0.3">
      <c r="A26" s="1"/>
      <c r="B26" s="9"/>
      <c r="C26" s="9"/>
      <c r="D26" s="9"/>
      <c r="F26" s="291"/>
      <c r="G26" s="292" t="s">
        <v>242</v>
      </c>
      <c r="H26" s="292"/>
      <c r="I26" s="292"/>
      <c r="L26" s="58" t="s">
        <v>849</v>
      </c>
      <c r="M26" s="45" t="s">
        <v>850</v>
      </c>
      <c r="N26" s="289"/>
      <c r="O26" s="58" t="s">
        <v>851</v>
      </c>
      <c r="P26" s="45" t="s">
        <v>1208</v>
      </c>
      <c r="Q26" s="289"/>
      <c r="R26" s="58" t="s">
        <v>852</v>
      </c>
      <c r="S26" s="45"/>
      <c r="T26" s="289"/>
      <c r="U26" s="58"/>
      <c r="V26" s="45"/>
      <c r="W26" s="289"/>
      <c r="Y26" s="9"/>
      <c r="Z26" s="23"/>
    </row>
    <row r="27" spans="1:26" ht="18" customHeight="1" x14ac:dyDescent="0.3">
      <c r="A27" s="1"/>
      <c r="B27" s="9"/>
      <c r="C27" s="9"/>
      <c r="D27" s="9"/>
      <c r="F27" s="291"/>
      <c r="G27" s="292" t="s">
        <v>269</v>
      </c>
      <c r="H27" s="292"/>
      <c r="I27" s="292"/>
      <c r="L27" s="59"/>
      <c r="M27" s="25"/>
      <c r="N27" s="60"/>
      <c r="O27" s="59"/>
      <c r="P27" s="25"/>
      <c r="Q27" s="102"/>
      <c r="R27" s="59"/>
      <c r="S27" s="25"/>
      <c r="T27" s="60"/>
      <c r="U27" s="59"/>
      <c r="V27" s="25"/>
      <c r="W27" s="60"/>
      <c r="Y27" s="9"/>
      <c r="Z27" s="23"/>
    </row>
    <row r="28" spans="1:26" ht="18" customHeight="1" x14ac:dyDescent="0.3">
      <c r="A28" s="1"/>
      <c r="B28" s="9"/>
      <c r="C28" s="9"/>
      <c r="D28" s="9"/>
      <c r="F28" s="291"/>
      <c r="G28" s="292"/>
      <c r="H28" s="292"/>
      <c r="I28" s="292"/>
      <c r="L28" s="59"/>
      <c r="M28" s="25"/>
      <c r="N28" s="60"/>
      <c r="O28" s="59"/>
      <c r="P28" s="25"/>
      <c r="Q28" s="102"/>
      <c r="R28" s="59"/>
      <c r="S28" s="25"/>
      <c r="T28" s="60"/>
      <c r="U28" s="59"/>
      <c r="V28" s="25"/>
      <c r="W28" s="60"/>
      <c r="Y28" s="9"/>
      <c r="Z28" s="23"/>
    </row>
    <row r="29" spans="1:26" ht="18" customHeight="1" x14ac:dyDescent="0.3">
      <c r="A29" s="1"/>
      <c r="B29" s="9"/>
      <c r="C29" s="9"/>
      <c r="D29" s="9"/>
      <c r="F29" s="291"/>
      <c r="G29" s="292"/>
      <c r="H29" s="292"/>
      <c r="I29" s="292"/>
      <c r="L29" s="59"/>
      <c r="M29" s="25"/>
      <c r="N29" s="60"/>
      <c r="O29" s="59"/>
      <c r="P29" s="25"/>
      <c r="Q29" s="102"/>
      <c r="R29" s="59"/>
      <c r="S29" s="25"/>
      <c r="T29" s="60"/>
      <c r="U29" s="59"/>
      <c r="V29" s="25"/>
      <c r="W29" s="60"/>
      <c r="Y29" s="9"/>
      <c r="Z29" s="23"/>
    </row>
    <row r="30" spans="1:26" ht="18" customHeight="1" x14ac:dyDescent="0.3">
      <c r="A30" s="1"/>
      <c r="B30" s="9"/>
      <c r="C30" s="9"/>
      <c r="D30" s="9"/>
      <c r="F30" s="291"/>
      <c r="G30" s="292"/>
      <c r="H30" s="292"/>
      <c r="I30" s="292"/>
      <c r="L30" s="59"/>
      <c r="M30" s="25"/>
      <c r="N30" s="60"/>
      <c r="O30" s="59"/>
      <c r="P30" s="25"/>
      <c r="Q30" s="102"/>
      <c r="R30" s="59"/>
      <c r="S30" s="25"/>
      <c r="T30" s="60"/>
      <c r="U30" s="59"/>
      <c r="V30" s="25"/>
      <c r="W30" s="60"/>
      <c r="Y30" s="9"/>
      <c r="Z30" s="23"/>
    </row>
    <row r="31" spans="1:26" ht="18" customHeight="1" x14ac:dyDescent="0.3">
      <c r="A31" s="1"/>
      <c r="B31" s="9"/>
      <c r="C31" s="9"/>
      <c r="D31" s="9"/>
      <c r="F31" s="291"/>
      <c r="G31" s="292"/>
      <c r="H31" s="292"/>
      <c r="I31" s="292"/>
      <c r="L31" s="59"/>
      <c r="M31" s="25"/>
      <c r="N31" s="60"/>
      <c r="O31" s="59"/>
      <c r="P31" s="25"/>
      <c r="Q31" s="102"/>
      <c r="R31" s="59"/>
      <c r="S31" s="25"/>
      <c r="T31" s="60"/>
      <c r="U31" s="59"/>
      <c r="V31" s="25"/>
      <c r="W31" s="60"/>
      <c r="Y31" s="9"/>
      <c r="Z31" s="23"/>
    </row>
    <row r="32" spans="1:26" ht="18" customHeight="1" x14ac:dyDescent="0.3">
      <c r="A32" s="1"/>
      <c r="B32" s="9"/>
      <c r="C32" s="9"/>
      <c r="D32" s="9"/>
      <c r="F32" s="291"/>
      <c r="G32" s="292"/>
      <c r="H32" s="292"/>
      <c r="I32" s="292"/>
      <c r="L32" s="59"/>
      <c r="M32" s="25"/>
      <c r="N32" s="60"/>
      <c r="O32" s="59"/>
      <c r="P32" s="25"/>
      <c r="Q32" s="102"/>
      <c r="R32" s="59"/>
      <c r="S32" s="25"/>
      <c r="T32" s="60"/>
      <c r="U32" s="59"/>
      <c r="V32" s="25"/>
      <c r="W32" s="60"/>
      <c r="Y32" s="9"/>
      <c r="Z32" s="23"/>
    </row>
    <row r="33" spans="1:26" ht="18" customHeight="1" x14ac:dyDescent="0.3">
      <c r="A33" s="1"/>
      <c r="B33" s="9"/>
      <c r="C33" s="9"/>
      <c r="D33" s="9"/>
      <c r="F33" s="291"/>
      <c r="G33" s="292"/>
      <c r="H33" s="292"/>
      <c r="I33" s="292"/>
      <c r="L33" s="59"/>
      <c r="M33" s="25"/>
      <c r="N33" s="60"/>
      <c r="O33" s="59"/>
      <c r="P33" s="25"/>
      <c r="Q33" s="102"/>
      <c r="R33" s="59"/>
      <c r="S33" s="25"/>
      <c r="T33" s="60"/>
      <c r="U33" s="59"/>
      <c r="V33" s="25"/>
      <c r="W33" s="60"/>
      <c r="Y33" s="9"/>
      <c r="Z33" s="23"/>
    </row>
    <row r="34" spans="1:26" ht="18" customHeight="1" x14ac:dyDescent="0.3">
      <c r="A34" s="1"/>
      <c r="B34" s="9"/>
      <c r="C34" s="9"/>
      <c r="D34" s="9"/>
      <c r="F34" s="291"/>
      <c r="G34" s="292"/>
      <c r="H34" s="292"/>
      <c r="I34" s="292"/>
      <c r="L34" s="59"/>
      <c r="M34" s="25"/>
      <c r="N34" s="60"/>
      <c r="O34" s="59"/>
      <c r="P34" s="25"/>
      <c r="Q34" s="102"/>
      <c r="R34" s="59"/>
      <c r="S34" s="25"/>
      <c r="T34" s="60"/>
      <c r="U34" s="59"/>
      <c r="V34" s="25"/>
      <c r="W34" s="60"/>
      <c r="Y34" s="9"/>
      <c r="Z34" s="23"/>
    </row>
    <row r="35" spans="1:26" ht="18" customHeight="1" x14ac:dyDescent="0.3">
      <c r="A35" s="1"/>
      <c r="B35" s="9"/>
      <c r="C35" s="9"/>
      <c r="D35" s="9"/>
      <c r="F35" s="291"/>
      <c r="G35" s="292"/>
      <c r="H35" s="292"/>
      <c r="I35" s="292"/>
      <c r="L35" s="59"/>
      <c r="M35" s="25"/>
      <c r="N35" s="60"/>
      <c r="O35" s="59"/>
      <c r="P35" s="25"/>
      <c r="Q35" s="102"/>
      <c r="R35" s="59"/>
      <c r="S35" s="25"/>
      <c r="T35" s="60"/>
      <c r="U35" s="59"/>
      <c r="V35" s="25"/>
      <c r="W35" s="60"/>
      <c r="Y35" s="9"/>
      <c r="Z35" s="23"/>
    </row>
    <row r="36" spans="1:26" ht="18" customHeight="1" x14ac:dyDescent="0.3">
      <c r="A36" s="1"/>
      <c r="B36" s="9"/>
      <c r="C36" s="9"/>
      <c r="D36" s="9"/>
      <c r="F36" s="291"/>
      <c r="G36" s="292"/>
      <c r="H36" s="292"/>
      <c r="I36" s="292"/>
      <c r="L36" s="59"/>
      <c r="M36" s="25"/>
      <c r="N36" s="60"/>
      <c r="O36" s="59"/>
      <c r="P36" s="25"/>
      <c r="Q36" s="102"/>
      <c r="R36" s="59"/>
      <c r="S36" s="25"/>
      <c r="T36" s="60"/>
      <c r="U36" s="59"/>
      <c r="V36" s="25"/>
      <c r="W36" s="60"/>
      <c r="Y36" s="9"/>
      <c r="Z36" s="23"/>
    </row>
    <row r="37" spans="1:26" ht="18" customHeight="1" x14ac:dyDescent="0.3">
      <c r="A37" s="1"/>
      <c r="B37" s="9"/>
      <c r="C37" s="9"/>
      <c r="D37" s="9"/>
      <c r="F37" s="291"/>
      <c r="G37" s="292"/>
      <c r="H37" s="292"/>
      <c r="I37" s="292"/>
      <c r="L37" s="59"/>
      <c r="M37" s="25"/>
      <c r="N37" s="60"/>
      <c r="O37" s="59"/>
      <c r="P37" s="25"/>
      <c r="Q37" s="102"/>
      <c r="R37" s="59"/>
      <c r="S37" s="25"/>
      <c r="T37" s="60"/>
      <c r="U37" s="59"/>
      <c r="V37" s="25"/>
      <c r="W37" s="60"/>
      <c r="Y37" s="9"/>
      <c r="Z37" s="23"/>
    </row>
    <row r="38" spans="1:26" ht="18" customHeight="1" x14ac:dyDescent="0.3">
      <c r="A38" s="1"/>
      <c r="B38" s="9"/>
      <c r="C38" s="9"/>
      <c r="D38" s="9"/>
      <c r="F38" s="291"/>
      <c r="G38" s="292"/>
      <c r="H38" s="292"/>
      <c r="I38" s="292"/>
      <c r="L38" s="59"/>
      <c r="M38" s="25"/>
      <c r="N38" s="60"/>
      <c r="O38" s="59"/>
      <c r="P38" s="25"/>
      <c r="Q38" s="102"/>
      <c r="R38" s="59"/>
      <c r="S38" s="25"/>
      <c r="T38" s="60"/>
      <c r="U38" s="59"/>
      <c r="V38" s="25"/>
      <c r="W38" s="60"/>
      <c r="Y38" s="9"/>
      <c r="Z38" s="23"/>
    </row>
    <row r="39" spans="1:26" ht="18" customHeight="1" x14ac:dyDescent="0.3">
      <c r="A39" s="1"/>
      <c r="B39" s="9"/>
      <c r="C39" s="9"/>
      <c r="D39" s="9"/>
      <c r="F39" s="291"/>
      <c r="G39" s="292"/>
      <c r="H39" s="292"/>
      <c r="I39" s="292"/>
      <c r="L39" s="59"/>
      <c r="M39" s="25"/>
      <c r="N39" s="60"/>
      <c r="O39" s="59"/>
      <c r="P39" s="25"/>
      <c r="Q39" s="102"/>
      <c r="R39" s="59"/>
      <c r="S39" s="25"/>
      <c r="T39" s="60"/>
      <c r="U39" s="59"/>
      <c r="V39" s="25"/>
      <c r="W39" s="60"/>
      <c r="Y39" s="9"/>
      <c r="Z39" s="23"/>
    </row>
    <row r="40" spans="1:26" ht="18" customHeight="1" x14ac:dyDescent="0.3">
      <c r="A40" s="1"/>
      <c r="B40" s="9"/>
      <c r="C40" s="9"/>
      <c r="D40" s="9"/>
      <c r="F40" s="291"/>
      <c r="G40" s="292"/>
      <c r="H40" s="292"/>
      <c r="I40" s="292"/>
      <c r="L40" s="59"/>
      <c r="M40" s="25"/>
      <c r="N40" s="60"/>
      <c r="O40" s="59"/>
      <c r="P40" s="25"/>
      <c r="Q40" s="102"/>
      <c r="R40" s="59"/>
      <c r="S40" s="25"/>
      <c r="T40" s="60"/>
      <c r="U40" s="59"/>
      <c r="V40" s="25"/>
      <c r="W40" s="60"/>
      <c r="Y40" s="9"/>
      <c r="Z40" s="23"/>
    </row>
    <row r="41" spans="1:26" ht="18" customHeight="1" x14ac:dyDescent="0.3">
      <c r="A41" s="1"/>
      <c r="B41" s="9"/>
      <c r="C41" s="9"/>
      <c r="D41" s="9"/>
      <c r="F41" s="291"/>
      <c r="G41" s="292"/>
      <c r="H41" s="292"/>
      <c r="I41" s="292"/>
      <c r="L41" s="59"/>
      <c r="M41" s="25"/>
      <c r="N41" s="60"/>
      <c r="O41" s="59"/>
      <c r="P41" s="25"/>
      <c r="Q41" s="102"/>
      <c r="R41" s="59"/>
      <c r="S41" s="25"/>
      <c r="T41" s="60"/>
      <c r="U41" s="59"/>
      <c r="V41" s="25"/>
      <c r="W41" s="60"/>
      <c r="Y41" s="9"/>
      <c r="Z41" s="23"/>
    </row>
    <row r="42" spans="1:26" ht="18" customHeight="1" x14ac:dyDescent="0.3">
      <c r="A42" s="1"/>
      <c r="B42" s="9"/>
      <c r="C42" s="9"/>
      <c r="D42" s="9"/>
      <c r="F42" s="291"/>
      <c r="G42" s="292"/>
      <c r="H42" s="292"/>
      <c r="I42" s="292"/>
      <c r="L42" s="59"/>
      <c r="M42" s="25"/>
      <c r="N42" s="60"/>
      <c r="O42" s="59"/>
      <c r="P42" s="25"/>
      <c r="Q42" s="102"/>
      <c r="R42" s="59"/>
      <c r="S42" s="25"/>
      <c r="T42" s="60"/>
      <c r="U42" s="59"/>
      <c r="V42" s="25"/>
      <c r="W42" s="60"/>
      <c r="Y42" s="9"/>
      <c r="Z42" s="23"/>
    </row>
    <row r="43" spans="1:26" ht="18" customHeight="1" x14ac:dyDescent="0.3">
      <c r="A43" s="1"/>
      <c r="B43" s="9"/>
      <c r="C43" s="9"/>
      <c r="D43" s="9"/>
      <c r="F43" s="291"/>
      <c r="G43" s="292"/>
      <c r="H43" s="292"/>
      <c r="I43" s="292"/>
      <c r="L43" s="59"/>
      <c r="M43" s="25"/>
      <c r="N43" s="60"/>
      <c r="O43" s="59"/>
      <c r="P43" s="25"/>
      <c r="Q43" s="102"/>
      <c r="R43" s="59"/>
      <c r="S43" s="25"/>
      <c r="T43" s="60"/>
      <c r="U43" s="59"/>
      <c r="V43" s="25"/>
      <c r="W43" s="60"/>
      <c r="Y43" s="9"/>
      <c r="Z43" s="23"/>
    </row>
    <row r="44" spans="1:26" ht="18" customHeight="1" x14ac:dyDescent="0.3">
      <c r="A44" s="1"/>
      <c r="B44" s="9"/>
      <c r="C44" s="9"/>
      <c r="D44" s="9"/>
      <c r="F44" s="291"/>
      <c r="G44" s="292"/>
      <c r="H44" s="292"/>
      <c r="I44" s="292"/>
      <c r="L44" s="59"/>
      <c r="M44" s="25"/>
      <c r="N44" s="60"/>
      <c r="O44" s="59"/>
      <c r="P44" s="25"/>
      <c r="Q44" s="102"/>
      <c r="R44" s="59"/>
      <c r="S44" s="25"/>
      <c r="T44" s="60"/>
      <c r="U44" s="59"/>
      <c r="V44" s="25"/>
      <c r="W44" s="60"/>
      <c r="Y44" s="9"/>
      <c r="Z44" s="23"/>
    </row>
    <row r="45" spans="1:26" ht="18" customHeight="1" x14ac:dyDescent="0.3">
      <c r="A45" s="1"/>
      <c r="B45" s="9"/>
      <c r="C45" s="9"/>
      <c r="D45" s="9"/>
      <c r="F45" s="291"/>
      <c r="G45" s="292"/>
      <c r="H45" s="292"/>
      <c r="I45" s="292"/>
      <c r="L45" s="59"/>
      <c r="M45" s="25"/>
      <c r="N45" s="60"/>
      <c r="O45" s="59"/>
      <c r="P45" s="25"/>
      <c r="Q45" s="102"/>
      <c r="R45" s="59"/>
      <c r="S45" s="25"/>
      <c r="T45" s="60"/>
      <c r="U45" s="59"/>
      <c r="V45" s="25"/>
      <c r="W45" s="60"/>
      <c r="Y45" s="9"/>
      <c r="Z45" s="23"/>
    </row>
    <row r="46" spans="1:26" ht="18" customHeight="1" x14ac:dyDescent="0.3">
      <c r="A46" s="1"/>
      <c r="B46" s="9"/>
      <c r="C46" s="9"/>
      <c r="D46" s="9"/>
      <c r="F46" s="291"/>
      <c r="G46" s="292"/>
      <c r="H46" s="292"/>
      <c r="I46" s="292"/>
      <c r="L46" s="59"/>
      <c r="M46" s="25"/>
      <c r="N46" s="60"/>
      <c r="O46" s="59"/>
      <c r="P46" s="25"/>
      <c r="Q46" s="102"/>
      <c r="R46" s="59"/>
      <c r="S46" s="25"/>
      <c r="T46" s="60"/>
      <c r="U46" s="59"/>
      <c r="V46" s="25"/>
      <c r="W46" s="60"/>
      <c r="Y46" s="9"/>
      <c r="Z46" s="23"/>
    </row>
    <row r="47" spans="1:26" ht="18" customHeight="1" x14ac:dyDescent="0.3">
      <c r="A47" s="1"/>
      <c r="B47" s="9"/>
      <c r="C47" s="9"/>
      <c r="D47" s="9"/>
      <c r="F47" s="291"/>
      <c r="G47" s="292"/>
      <c r="H47" s="292"/>
      <c r="I47" s="292"/>
      <c r="L47" s="59"/>
      <c r="M47" s="25"/>
      <c r="N47" s="60"/>
      <c r="O47" s="59"/>
      <c r="P47" s="25"/>
      <c r="Q47" s="102"/>
      <c r="R47" s="59"/>
      <c r="S47" s="25"/>
      <c r="T47" s="60"/>
      <c r="U47" s="59"/>
      <c r="V47" s="25"/>
      <c r="W47" s="60"/>
      <c r="Y47" s="9"/>
      <c r="Z47" s="23"/>
    </row>
    <row r="48" spans="1:26" ht="18" customHeight="1" x14ac:dyDescent="0.3">
      <c r="A48" s="1"/>
      <c r="B48" s="9"/>
      <c r="C48" s="9"/>
      <c r="D48" s="9"/>
      <c r="F48" s="291"/>
      <c r="G48" s="292"/>
      <c r="H48" s="292"/>
      <c r="I48" s="292"/>
      <c r="L48" s="59"/>
      <c r="M48" s="25"/>
      <c r="N48" s="60"/>
      <c r="O48" s="59"/>
      <c r="P48" s="25"/>
      <c r="Q48" s="102"/>
      <c r="R48" s="59"/>
      <c r="S48" s="25"/>
      <c r="T48" s="60"/>
      <c r="U48" s="59"/>
      <c r="V48" s="25"/>
      <c r="W48" s="60"/>
      <c r="Y48" s="9"/>
      <c r="Z48" s="23"/>
    </row>
    <row r="49" spans="1:26" ht="18" customHeight="1" x14ac:dyDescent="0.3">
      <c r="A49" s="1"/>
      <c r="B49" s="9"/>
      <c r="C49" s="9"/>
      <c r="D49" s="9"/>
      <c r="F49" s="291"/>
      <c r="G49" s="292"/>
      <c r="H49" s="292"/>
      <c r="I49" s="292"/>
      <c r="L49" s="59"/>
      <c r="M49" s="25"/>
      <c r="N49" s="60"/>
      <c r="O49" s="59"/>
      <c r="P49" s="25"/>
      <c r="Q49" s="60"/>
      <c r="R49" s="59"/>
      <c r="S49" s="25"/>
      <c r="T49" s="60"/>
      <c r="U49" s="59"/>
      <c r="V49" s="25"/>
      <c r="W49" s="60"/>
      <c r="Y49" s="9"/>
      <c r="Z49" s="23"/>
    </row>
    <row r="50" spans="1:26" x14ac:dyDescent="0.25">
      <c r="T50" s="1"/>
      <c r="W50" s="1"/>
    </row>
    <row r="51" spans="1:26" ht="15" customHeight="1" x14ac:dyDescent="0.25"/>
  </sheetData>
  <mergeCells count="63">
    <mergeCell ref="F24:F49"/>
    <mergeCell ref="G24:I25"/>
    <mergeCell ref="N24:N26"/>
    <mergeCell ref="Q24:Q26"/>
    <mergeCell ref="T24:T26"/>
    <mergeCell ref="W24:W26"/>
    <mergeCell ref="G26:I26"/>
    <mergeCell ref="G27:I49"/>
    <mergeCell ref="R20:T20"/>
    <mergeCell ref="U20:W20"/>
    <mergeCell ref="L21:N21"/>
    <mergeCell ref="O21:Q21"/>
    <mergeCell ref="R21:T21"/>
    <mergeCell ref="U21:W21"/>
    <mergeCell ref="U18:W19"/>
    <mergeCell ref="E19:I19"/>
    <mergeCell ref="D20:D21"/>
    <mergeCell ref="E20:I21"/>
    <mergeCell ref="L20:N20"/>
    <mergeCell ref="O20:Q20"/>
    <mergeCell ref="D15:I15"/>
    <mergeCell ref="B18:C21"/>
    <mergeCell ref="L18:N19"/>
    <mergeCell ref="O18:Q19"/>
    <mergeCell ref="R18:T19"/>
    <mergeCell ref="R17:T17"/>
    <mergeCell ref="U17:W17"/>
    <mergeCell ref="T12:U12"/>
    <mergeCell ref="V12:W12"/>
    <mergeCell ref="M13:N13"/>
    <mergeCell ref="Q13:R13"/>
    <mergeCell ref="U13:V13"/>
    <mergeCell ref="M14:N15"/>
    <mergeCell ref="O14:O15"/>
    <mergeCell ref="P14:P15"/>
    <mergeCell ref="Q14:R15"/>
    <mergeCell ref="R12:S12"/>
    <mergeCell ref="S14:S15"/>
    <mergeCell ref="T14:T15"/>
    <mergeCell ref="U14:V15"/>
    <mergeCell ref="W14:W15"/>
    <mergeCell ref="L12:M12"/>
    <mergeCell ref="N12:O12"/>
    <mergeCell ref="P12:Q12"/>
    <mergeCell ref="L17:N17"/>
    <mergeCell ref="O17:Q17"/>
    <mergeCell ref="L14:L15"/>
    <mergeCell ref="M7:O8"/>
    <mergeCell ref="Q7:S8"/>
    <mergeCell ref="B7:C7"/>
    <mergeCell ref="G12:G13"/>
    <mergeCell ref="D2:I2"/>
    <mergeCell ref="D3:I4"/>
    <mergeCell ref="L3:T4"/>
    <mergeCell ref="D5:I5"/>
    <mergeCell ref="L5:S5"/>
    <mergeCell ref="B10:C10"/>
    <mergeCell ref="B12:C15"/>
    <mergeCell ref="D12:D14"/>
    <mergeCell ref="E12:E14"/>
    <mergeCell ref="F12:F13"/>
    <mergeCell ref="H12:H13"/>
    <mergeCell ref="I12:I13"/>
  </mergeCells>
  <conditionalFormatting sqref="D15:I15">
    <cfRule type="containsText" dxfId="351" priority="4" operator="containsText" text="Finalizado">
      <formula>NOT(ISERROR(SEARCH("Finalizado",D15)))</formula>
    </cfRule>
    <cfRule type="containsText" dxfId="350" priority="5" operator="containsText" text="No Planificado">
      <formula>NOT(ISERROR(SEARCH("No Planificado",D15)))</formula>
    </cfRule>
    <cfRule type="containsText" dxfId="349" priority="6" operator="containsText" text="A Tiempo">
      <formula>NOT(ISERROR(SEARCH("A Tiempo",D15)))</formula>
    </cfRule>
    <cfRule type="containsText" dxfId="348" priority="7" operator="containsText" text="Retrasado">
      <formula>NOT(ISERROR(SEARCH("Retrasado",D15)))</formula>
    </cfRule>
  </conditionalFormatting>
  <conditionalFormatting sqref="F7:F8">
    <cfRule type="iconSet" priority="11">
      <iconSet showValue="0">
        <cfvo type="percent" val="0"/>
        <cfvo type="num" val="2"/>
        <cfvo type="num" val="3"/>
      </iconSet>
    </cfRule>
  </conditionalFormatting>
  <conditionalFormatting sqref="F12 F14">
    <cfRule type="iconSet" priority="9">
      <iconSet showValue="0">
        <cfvo type="percent" val="0"/>
        <cfvo type="num" val="2"/>
        <cfvo type="num" val="3"/>
      </iconSet>
    </cfRule>
  </conditionalFormatting>
  <conditionalFormatting sqref="G7:I8">
    <cfRule type="iconSet" priority="10">
      <iconSet showValue="0">
        <cfvo type="percent" val="0"/>
        <cfvo type="num" val="2"/>
        <cfvo type="num" val="3"/>
      </iconSet>
    </cfRule>
  </conditionalFormatting>
  <conditionalFormatting sqref="G12:I12 G14:I14">
    <cfRule type="iconSet" priority="8">
      <iconSet showValue="0">
        <cfvo type="percent" val="0"/>
        <cfvo type="num" val="2"/>
        <cfvo type="num" val="3"/>
      </iconSet>
    </cfRule>
  </conditionalFormatting>
  <conditionalFormatting sqref="L24">
    <cfRule type="iconSet" priority="1">
      <iconSet showValue="0">
        <cfvo type="percent" val="0"/>
        <cfvo type="num" val="2"/>
        <cfvo type="num" val="3"/>
      </iconSet>
    </cfRule>
  </conditionalFormatting>
  <conditionalFormatting sqref="L25:M25">
    <cfRule type="containsText" dxfId="347" priority="22" operator="containsText" text="PENDIENTE">
      <formula>NOT(ISERROR(SEARCH("PENDIENTE",L25)))</formula>
    </cfRule>
    <cfRule type="containsText" dxfId="346" priority="23" operator="containsText" text="NO VALIDADO">
      <formula>NOT(ISERROR(SEARCH("NO VALIDADO",L25)))</formula>
    </cfRule>
    <cfRule type="containsText" dxfId="345" priority="24" operator="containsText" text="VALIDADO">
      <formula>NOT(ISERROR(SEARCH("VALIDADO",L25)))</formula>
    </cfRule>
  </conditionalFormatting>
  <conditionalFormatting sqref="M24 O24:P24 R24:S24 U24:V24">
    <cfRule type="iconSet" priority="12">
      <iconSet showValue="0">
        <cfvo type="percent" val="0"/>
        <cfvo type="num" val="2"/>
        <cfvo type="num" val="3"/>
      </iconSet>
    </cfRule>
  </conditionalFormatting>
  <conditionalFormatting sqref="O25:P25">
    <cfRule type="containsText" dxfId="344" priority="19" operator="containsText" text="PENDIENTE">
      <formula>NOT(ISERROR(SEARCH("PENDIENTE",O25)))</formula>
    </cfRule>
    <cfRule type="containsText" dxfId="343" priority="20" operator="containsText" text="NO VALIDADO">
      <formula>NOT(ISERROR(SEARCH("NO VALIDADO",O25)))</formula>
    </cfRule>
    <cfRule type="containsText" dxfId="342" priority="21" operator="containsText" text="VALIDADO">
      <formula>NOT(ISERROR(SEARCH("VALIDADO",O25)))</formula>
    </cfRule>
  </conditionalFormatting>
  <conditionalFormatting sqref="R25:S25">
    <cfRule type="containsText" dxfId="341" priority="16" operator="containsText" text="PENDIENTE">
      <formula>NOT(ISERROR(SEARCH("PENDIENTE",R25)))</formula>
    </cfRule>
    <cfRule type="containsText" dxfId="340" priority="17" operator="containsText" text="NO VALIDADO">
      <formula>NOT(ISERROR(SEARCH("NO VALIDADO",R25)))</formula>
    </cfRule>
    <cfRule type="containsText" dxfId="339" priority="18" operator="containsText" text="VALIDADO">
      <formula>NOT(ISERROR(SEARCH("VALIDADO",R25)))</formula>
    </cfRule>
  </conditionalFormatting>
  <conditionalFormatting sqref="U25:V25">
    <cfRule type="containsText" dxfId="338" priority="13" operator="containsText" text="PENDIENTE">
      <formula>NOT(ISERROR(SEARCH("PENDIENTE",U25)))</formula>
    </cfRule>
    <cfRule type="containsText" dxfId="337" priority="14" operator="containsText" text="NO VALIDADO">
      <formula>NOT(ISERROR(SEARCH("NO VALIDADO",U25)))</formula>
    </cfRule>
    <cfRule type="containsText" dxfId="336" priority="15" operator="containsText" text="VALIDADO">
      <formula>NOT(ISERROR(SEARCH("VALIDADO",U25)))</formula>
    </cfRule>
  </conditionalFormatting>
  <dataValidations count="6">
    <dataValidation type="list" allowBlank="1" showInputMessage="1" showErrorMessage="1" sqref="D10" xr:uid="{154570D9-5125-45E8-A63B-4C132EB76B6B}">
      <formula1>"No Cumple, Parcial,Cumple,Más que Cumple,Mejor Práctica"</formula1>
    </dataValidation>
    <dataValidation type="list" allowBlank="1" showInputMessage="1" showErrorMessage="1" sqref="S10 Q10" xr:uid="{E9968241-4961-42A9-ABB5-58750AFA5EAF}">
      <formula1>"Junio,Julio,Agosto,Septiembre,Octubre"</formula1>
    </dataValidation>
    <dataValidation type="list" allowBlank="1" showInputMessage="1" showErrorMessage="1" sqref="O10" xr:uid="{A2CBA3C1-856A-41B2-BA93-F61009537DC4}">
      <formula1>"Alta,Baja,No Planificado"</formula1>
    </dataValidation>
    <dataValidation type="list" allowBlank="1" showInputMessage="1" showErrorMessage="1" sqref="AC14:AC15 S14:S15 O14:O15 W14:W15" xr:uid="{3B21583E-5A2B-4485-8E5A-36EB91A581FC}">
      <formula1>"No Cumple, Parcial, Cumple, Más que Cumple, Mejor Práctica"</formula1>
    </dataValidation>
    <dataValidation type="list" allowBlank="1" showInputMessage="1" showErrorMessage="1" sqref="N12 R12 V12" xr:uid="{E16A714B-7B17-4E6A-8886-1C5550CBD132}">
      <formula1>"Mayo,Junio,Julio,Agosto,Septiembre,Octubre"</formula1>
    </dataValidation>
    <dataValidation type="list" allowBlank="1" showInputMessage="1" showErrorMessage="1" sqref="L14:L15 P14:P15 T14:T15" xr:uid="{BD83FDEC-0BA6-4481-BCDD-8E45C105F0A1}">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4A6F19DF-1B41-4AFB-A9A9-2EC8D3CEF460}">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DE59B-735C-414B-83B3-C225519C928B}">
  <sheetPr codeName="Planilha56"/>
  <dimension ref="A1:AB51"/>
  <sheetViews>
    <sheetView showGridLines="0" zoomScale="50" zoomScaleNormal="50" workbookViewId="0">
      <pane xSplit="3" ySplit="4" topLeftCell="D10"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853</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3</v>
      </c>
      <c r="H7" s="48" t="str">
        <f>IF($Q$24&lt;&gt;"",IF($Q$24=3,3,IF($Q$24=2,2,1)),"")</f>
        <v/>
      </c>
      <c r="I7" s="48">
        <f>IF($T$24&lt;&gt;"",IF($T$24=3,3,IF($T$24=2,2,1)),"")</f>
        <v>3</v>
      </c>
      <c r="J7" s="32"/>
      <c r="K7" s="49" t="s">
        <v>224</v>
      </c>
      <c r="L7" s="46" t="s">
        <v>225</v>
      </c>
      <c r="M7" s="267" t="s">
        <v>854</v>
      </c>
      <c r="N7" s="267"/>
      <c r="O7" s="267"/>
      <c r="P7" s="46" t="s">
        <v>227</v>
      </c>
      <c r="Q7" s="267" t="s">
        <v>855</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0.02</v>
      </c>
      <c r="F10" s="52" t="str">
        <f>IF(K20="D","D","-")</f>
        <v>-</v>
      </c>
      <c r="G10" s="52" t="str">
        <f>IF(N20="D","D","-")</f>
        <v>D</v>
      </c>
      <c r="H10" s="52" t="str">
        <f>IF(Q20="D","D","-")</f>
        <v>-</v>
      </c>
      <c r="I10" s="52" t="str">
        <f>IF(T20="D","D","-")</f>
        <v>-</v>
      </c>
      <c r="J10" s="32"/>
      <c r="K10" s="66" t="s">
        <v>230</v>
      </c>
      <c r="L10" s="50" t="s">
        <v>231</v>
      </c>
      <c r="M10" s="75">
        <v>3</v>
      </c>
      <c r="N10" s="50" t="s">
        <v>232</v>
      </c>
      <c r="O10" s="53" t="s">
        <v>374</v>
      </c>
      <c r="P10" s="50" t="s">
        <v>233</v>
      </c>
      <c r="Q10" s="92" t="s">
        <v>286</v>
      </c>
      <c r="R10" s="50" t="s">
        <v>235</v>
      </c>
      <c r="S10" s="92" t="s">
        <v>303</v>
      </c>
      <c r="T10" s="50" t="s">
        <v>237</v>
      </c>
      <c r="U10" s="53" t="s">
        <v>856</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1.3999999999999999E-2</v>
      </c>
      <c r="F12" s="268">
        <f>IF($L$24&lt;&gt;"",IF($L$24=3,3,IF($L$24=2,2,1)),"")</f>
        <v>3</v>
      </c>
      <c r="G12" s="268">
        <f>IF($O$24&lt;&gt;"",IF($O$24=3,3,IF($O$24=2,2,1)),"")</f>
        <v>3</v>
      </c>
      <c r="H12" s="268" t="str">
        <f>IF($R$24&lt;&gt;"",IF($R$24=3,3,IF($R$24=2,2,1)),"")</f>
        <v/>
      </c>
      <c r="I12" s="268">
        <f>IF($U$24&lt;&gt;"",IF($U$24=3,3,IF($U$24=2,2,1)),"")</f>
        <v>3</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c r="I16" s="9" t="s">
        <v>250</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857</v>
      </c>
      <c r="L18" s="264"/>
      <c r="M18" s="265"/>
      <c r="N18" s="266" t="s">
        <v>858</v>
      </c>
      <c r="O18" s="264"/>
      <c r="P18" s="265"/>
      <c r="Q18" s="266" t="s">
        <v>859</v>
      </c>
      <c r="R18" s="264"/>
      <c r="S18" s="265"/>
      <c r="T18" s="266" t="s">
        <v>860</v>
      </c>
      <c r="U18" s="264"/>
      <c r="V18" s="265"/>
      <c r="W18" s="9"/>
      <c r="X18" s="9"/>
      <c r="Y18" s="23"/>
    </row>
    <row r="19" spans="1:25" ht="141.75" customHeight="1" outlineLevel="2" x14ac:dyDescent="0.3">
      <c r="A19" s="1"/>
      <c r="B19" s="283"/>
      <c r="C19" s="283"/>
      <c r="D19" s="42" t="s">
        <v>257</v>
      </c>
      <c r="E19" s="307" t="s">
        <v>861</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152</v>
      </c>
      <c r="F20" s="288"/>
      <c r="G20" s="288"/>
      <c r="H20" s="288"/>
      <c r="I20" s="288"/>
      <c r="J20" s="25"/>
      <c r="K20" s="266"/>
      <c r="L20" s="264"/>
      <c r="M20" s="265"/>
      <c r="N20" s="266" t="s">
        <v>260</v>
      </c>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846</v>
      </c>
      <c r="L21" s="264"/>
      <c r="M21" s="265"/>
      <c r="N21" s="266" t="s">
        <v>329</v>
      </c>
      <c r="O21" s="264"/>
      <c r="P21" s="265"/>
      <c r="Q21" s="266" t="s">
        <v>293</v>
      </c>
      <c r="R21" s="264"/>
      <c r="S21" s="265"/>
      <c r="T21" s="266" t="s">
        <v>862</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3</v>
      </c>
      <c r="O24" s="40">
        <v>3</v>
      </c>
      <c r="P24" s="289"/>
      <c r="Q24" s="56"/>
      <c r="R24" s="40"/>
      <c r="S24" s="289"/>
      <c r="T24" s="56">
        <v>3</v>
      </c>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863</v>
      </c>
      <c r="L26" s="45" t="s">
        <v>864</v>
      </c>
      <c r="M26" s="289"/>
      <c r="N26" s="58" t="s">
        <v>865</v>
      </c>
      <c r="O26" s="45" t="s">
        <v>1209</v>
      </c>
      <c r="P26" s="289"/>
      <c r="Q26" s="58"/>
      <c r="R26" s="45"/>
      <c r="S26" s="289"/>
      <c r="T26" s="58" t="s">
        <v>866</v>
      </c>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335" priority="4" operator="containsText" text="Finalizado">
      <formula>NOT(ISERROR(SEARCH("Finalizado",D15)))</formula>
    </cfRule>
    <cfRule type="containsText" dxfId="334" priority="5" operator="containsText" text="No Planificado">
      <formula>NOT(ISERROR(SEARCH("No Planificado",D15)))</formula>
    </cfRule>
    <cfRule type="containsText" dxfId="333" priority="6" operator="containsText" text="A Tiempo">
      <formula>NOT(ISERROR(SEARCH("A Tiempo",D15)))</formula>
    </cfRule>
    <cfRule type="containsText" dxfId="332" priority="7" operator="containsText" text="Retrasado">
      <formula>NOT(ISERROR(SEARCH("Retrasado",D15)))</formula>
    </cfRule>
  </conditionalFormatting>
  <conditionalFormatting sqref="F7:F8">
    <cfRule type="iconSet" priority="11">
      <iconSet showValue="0">
        <cfvo type="percent" val="0"/>
        <cfvo type="num" val="2"/>
        <cfvo type="num" val="3"/>
      </iconSet>
    </cfRule>
  </conditionalFormatting>
  <conditionalFormatting sqref="F12 F14">
    <cfRule type="iconSet" priority="9">
      <iconSet showValue="0">
        <cfvo type="percent" val="0"/>
        <cfvo type="num" val="2"/>
        <cfvo type="num" val="3"/>
      </iconSet>
    </cfRule>
  </conditionalFormatting>
  <conditionalFormatting sqref="G7:I8">
    <cfRule type="iconSet" priority="10">
      <iconSet showValue="0">
        <cfvo type="percent" val="0"/>
        <cfvo type="num" val="2"/>
        <cfvo type="num" val="3"/>
      </iconSet>
    </cfRule>
  </conditionalFormatting>
  <conditionalFormatting sqref="G12:I12 G14:I14">
    <cfRule type="iconSet" priority="8">
      <iconSet showValue="0">
        <cfvo type="percent" val="0"/>
        <cfvo type="num" val="2"/>
        <cfvo type="num" val="3"/>
      </iconSet>
    </cfRule>
  </conditionalFormatting>
  <conditionalFormatting sqref="K24:L24 O24 Q24:R24 T24:U24">
    <cfRule type="iconSet" priority="12">
      <iconSet showValue="0">
        <cfvo type="percent" val="0"/>
        <cfvo type="num" val="2"/>
        <cfvo type="num" val="3"/>
      </iconSet>
    </cfRule>
  </conditionalFormatting>
  <conditionalFormatting sqref="K25:L25">
    <cfRule type="containsText" dxfId="331" priority="22" operator="containsText" text="PENDIENTE">
      <formula>NOT(ISERROR(SEARCH("PENDIENTE",K25)))</formula>
    </cfRule>
    <cfRule type="containsText" dxfId="330" priority="23" operator="containsText" text="NO VALIDADO">
      <formula>NOT(ISERROR(SEARCH("NO VALIDADO",K25)))</formula>
    </cfRule>
    <cfRule type="containsText" dxfId="329" priority="24" operator="containsText" text="VALIDADO">
      <formula>NOT(ISERROR(SEARCH("VALIDADO",K25)))</formula>
    </cfRule>
  </conditionalFormatting>
  <conditionalFormatting sqref="N24">
    <cfRule type="iconSet" priority="1">
      <iconSet showValue="0">
        <cfvo type="percent" val="0"/>
        <cfvo type="num" val="2"/>
        <cfvo type="num" val="3"/>
      </iconSet>
    </cfRule>
  </conditionalFormatting>
  <conditionalFormatting sqref="N25:O25">
    <cfRule type="containsText" dxfId="328" priority="19" operator="containsText" text="PENDIENTE">
      <formula>NOT(ISERROR(SEARCH("PENDIENTE",N25)))</formula>
    </cfRule>
    <cfRule type="containsText" dxfId="327" priority="20" operator="containsText" text="NO VALIDADO">
      <formula>NOT(ISERROR(SEARCH("NO VALIDADO",N25)))</formula>
    </cfRule>
    <cfRule type="containsText" dxfId="326" priority="21" operator="containsText" text="VALIDADO">
      <formula>NOT(ISERROR(SEARCH("VALIDADO",N25)))</formula>
    </cfRule>
  </conditionalFormatting>
  <conditionalFormatting sqref="Q25:R25">
    <cfRule type="containsText" dxfId="325" priority="16" operator="containsText" text="PENDIENTE">
      <formula>NOT(ISERROR(SEARCH("PENDIENTE",Q25)))</formula>
    </cfRule>
    <cfRule type="containsText" dxfId="324" priority="17" operator="containsText" text="NO VALIDADO">
      <formula>NOT(ISERROR(SEARCH("NO VALIDADO",Q25)))</formula>
    </cfRule>
    <cfRule type="containsText" dxfId="323" priority="18" operator="containsText" text="VALIDADO">
      <formula>NOT(ISERROR(SEARCH("VALIDADO",Q25)))</formula>
    </cfRule>
  </conditionalFormatting>
  <conditionalFormatting sqref="T25:U25">
    <cfRule type="containsText" dxfId="322" priority="13" operator="containsText" text="PENDIENTE">
      <formula>NOT(ISERROR(SEARCH("PENDIENTE",T25)))</formula>
    </cfRule>
    <cfRule type="containsText" dxfId="321" priority="14" operator="containsText" text="NO VALIDADO">
      <formula>NOT(ISERROR(SEARCH("NO VALIDADO",T25)))</formula>
    </cfRule>
    <cfRule type="containsText" dxfId="320" priority="15" operator="containsText" text="VALIDADO">
      <formula>NOT(ISERROR(SEARCH("VALIDADO",T25)))</formula>
    </cfRule>
  </conditionalFormatting>
  <dataValidations count="6">
    <dataValidation type="list" allowBlank="1" showInputMessage="1" showErrorMessage="1" sqref="K14:K15 O14:O15 S14:S15" xr:uid="{93B94995-6E65-4D61-A6B4-E5B61CC2B2D9}">
      <formula1>"No Iniciado, En Progreso,Finalizado"</formula1>
    </dataValidation>
    <dataValidation type="list" allowBlank="1" showInputMessage="1" showErrorMessage="1" sqref="M12 Q12 U12" xr:uid="{8F41B13F-A0B1-498B-B45D-9A066A33EACB}">
      <formula1>"Mayo,Junio,Julio,Agosto,Septiembre,Octubre"</formula1>
    </dataValidation>
    <dataValidation type="list" allowBlank="1" showInputMessage="1" showErrorMessage="1" sqref="AB14:AB15 R14:R15 N14:N15 V14:V15" xr:uid="{BB1B5C55-8991-40BF-8F85-04FECD2EDE7B}">
      <formula1>"No Cumple, Parcial, Cumple, Más que Cumple, Mejor Práctica"</formula1>
    </dataValidation>
    <dataValidation type="list" allowBlank="1" showInputMessage="1" showErrorMessage="1" sqref="O10" xr:uid="{F0AD1369-0DE9-48CD-AEAC-1DB5960F8193}">
      <formula1>"Alta,Baja,No Planificado"</formula1>
    </dataValidation>
    <dataValidation type="list" allowBlank="1" showInputMessage="1" showErrorMessage="1" sqref="S10 Q10" xr:uid="{4F191C98-5617-4795-991A-0DE572DB37FC}">
      <formula1>"Junio,Julio,Agosto,Septiembre,Octubre"</formula1>
    </dataValidation>
    <dataValidation type="list" allowBlank="1" showInputMessage="1" showErrorMessage="1" sqref="D10" xr:uid="{D14E2E79-F848-455E-BD95-E1908E8D3053}">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3CB2C434-C0BA-4A1C-A6B7-F6B5801B4AD6}">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40D94-C320-4463-8369-9558ADB28716}">
  <sheetPr codeName="Planilha57"/>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867</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1</v>
      </c>
      <c r="H7" s="48" t="str">
        <f>IF($Q$24&lt;&gt;"",IF($Q$24=3,3,IF($Q$24=2,2,1)),"")</f>
        <v/>
      </c>
      <c r="I7" s="48" t="str">
        <f>IF($T$24&lt;&gt;"",IF($T$24=3,3,IF($T$24=2,2,1)),"")</f>
        <v/>
      </c>
      <c r="J7" s="32"/>
      <c r="K7" s="49" t="s">
        <v>224</v>
      </c>
      <c r="L7" s="46" t="s">
        <v>225</v>
      </c>
      <c r="M7" s="267" t="s">
        <v>868</v>
      </c>
      <c r="N7" s="267"/>
      <c r="O7" s="267"/>
      <c r="P7" s="46" t="s">
        <v>227</v>
      </c>
      <c r="Q7" s="267" t="s">
        <v>869</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1.0499999999999999E-2</v>
      </c>
      <c r="F10" s="52" t="str">
        <f>IF(K20="D","D","-")</f>
        <v>D</v>
      </c>
      <c r="G10" s="52" t="str">
        <f>IF(N20="D","D","-")</f>
        <v>D</v>
      </c>
      <c r="H10" s="52" t="str">
        <f>IF(Q20="D","D","-")</f>
        <v>-</v>
      </c>
      <c r="I10" s="52" t="str">
        <f>IF(T20="D","D","-")</f>
        <v>-</v>
      </c>
      <c r="J10" s="32"/>
      <c r="K10" s="66" t="s">
        <v>230</v>
      </c>
      <c r="L10" s="50" t="s">
        <v>231</v>
      </c>
      <c r="M10" s="75">
        <v>2</v>
      </c>
      <c r="N10" s="50" t="s">
        <v>232</v>
      </c>
      <c r="O10" s="53" t="s">
        <v>374</v>
      </c>
      <c r="P10" s="50" t="s">
        <v>233</v>
      </c>
      <c r="Q10" s="92" t="s">
        <v>321</v>
      </c>
      <c r="R10" s="50" t="s">
        <v>235</v>
      </c>
      <c r="S10" s="92" t="s">
        <v>303</v>
      </c>
      <c r="T10" s="50" t="s">
        <v>237</v>
      </c>
      <c r="U10" s="53" t="s">
        <v>870</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1.0499999999999999E-2</v>
      </c>
      <c r="F12" s="268">
        <f>IF($L$24&lt;&gt;"",IF($L$24=3,3,IF($L$24=2,2,1)),"")</f>
        <v>3</v>
      </c>
      <c r="G12" s="268">
        <f>IF($O$24&lt;&gt;"",IF($O$24=3,3,IF($O$24=2,2,1)),"")</f>
        <v>3</v>
      </c>
      <c r="H12" s="268" t="str">
        <f>IF($R$24&lt;&gt;"",IF($R$24=3,3,IF($R$24=2,2,1)),"")</f>
        <v/>
      </c>
      <c r="I12" s="268" t="str">
        <f>IF($U$24&lt;&gt;"",IF($U$24=3,3,IF($U$24=2,2,1)),"")</f>
        <v/>
      </c>
      <c r="J12" s="32"/>
      <c r="K12" s="300" t="s">
        <v>240</v>
      </c>
      <c r="L12" s="274"/>
      <c r="M12" s="280" t="s">
        <v>321</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305</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871</v>
      </c>
      <c r="L18" s="264"/>
      <c r="M18" s="265"/>
      <c r="N18" s="266" t="s">
        <v>872</v>
      </c>
      <c r="O18" s="264"/>
      <c r="P18" s="265"/>
      <c r="Q18" s="266" t="s">
        <v>873</v>
      </c>
      <c r="R18" s="264"/>
      <c r="S18" s="265"/>
      <c r="T18" s="266" t="s">
        <v>874</v>
      </c>
      <c r="U18" s="264"/>
      <c r="V18" s="265"/>
      <c r="W18" s="9"/>
      <c r="X18" s="9"/>
      <c r="Y18" s="23"/>
    </row>
    <row r="19" spans="1:25" ht="141.75" customHeight="1" outlineLevel="2" x14ac:dyDescent="0.3">
      <c r="A19" s="1"/>
      <c r="B19" s="283"/>
      <c r="C19" s="283"/>
      <c r="D19" s="42" t="s">
        <v>257</v>
      </c>
      <c r="E19" s="307" t="s">
        <v>875</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152</v>
      </c>
      <c r="F20" s="288"/>
      <c r="G20" s="288"/>
      <c r="H20" s="288"/>
      <c r="I20" s="288"/>
      <c r="J20" s="25"/>
      <c r="K20" s="266" t="s">
        <v>260</v>
      </c>
      <c r="L20" s="264"/>
      <c r="M20" s="265"/>
      <c r="N20" s="266" t="s">
        <v>260</v>
      </c>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313</v>
      </c>
      <c r="L21" s="264"/>
      <c r="M21" s="265"/>
      <c r="N21" s="266" t="s">
        <v>313</v>
      </c>
      <c r="O21" s="264"/>
      <c r="P21" s="265"/>
      <c r="Q21" s="266" t="s">
        <v>313</v>
      </c>
      <c r="R21" s="264"/>
      <c r="S21" s="265"/>
      <c r="T21" s="266" t="s">
        <v>625</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1</v>
      </c>
      <c r="O24" s="40">
        <v>3</v>
      </c>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876</v>
      </c>
      <c r="L26" s="45" t="s">
        <v>1171</v>
      </c>
      <c r="M26" s="289"/>
      <c r="N26" s="58" t="s">
        <v>876</v>
      </c>
      <c r="O26" s="45" t="s">
        <v>1172</v>
      </c>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319" priority="8" operator="containsText" text="Finalizado">
      <formula>NOT(ISERROR(SEARCH("Finalizado",D15)))</formula>
    </cfRule>
    <cfRule type="containsText" dxfId="318" priority="9" operator="containsText" text="No Planificado">
      <formula>NOT(ISERROR(SEARCH("No Planificado",D15)))</formula>
    </cfRule>
    <cfRule type="containsText" dxfId="317" priority="10" operator="containsText" text="A Tiempo">
      <formula>NOT(ISERROR(SEARCH("A Tiempo",D15)))</formula>
    </cfRule>
    <cfRule type="containsText" dxfId="316" priority="11" operator="containsText" text="Retrasado">
      <formula>NOT(ISERROR(SEARCH("Retrasado",D15)))</formula>
    </cfRule>
  </conditionalFormatting>
  <conditionalFormatting sqref="F7:F8">
    <cfRule type="iconSet" priority="15">
      <iconSet showValue="0">
        <cfvo type="percent" val="0"/>
        <cfvo type="num" val="2"/>
        <cfvo type="num" val="3"/>
      </iconSet>
    </cfRule>
  </conditionalFormatting>
  <conditionalFormatting sqref="F12 F14">
    <cfRule type="iconSet" priority="13">
      <iconSet showValue="0">
        <cfvo type="percent" val="0"/>
        <cfvo type="num" val="2"/>
        <cfvo type="num" val="3"/>
      </iconSet>
    </cfRule>
  </conditionalFormatting>
  <conditionalFormatting sqref="G7:I8">
    <cfRule type="iconSet" priority="14">
      <iconSet showValue="0">
        <cfvo type="percent" val="0"/>
        <cfvo type="num" val="2"/>
        <cfvo type="num" val="3"/>
      </iconSet>
    </cfRule>
  </conditionalFormatting>
  <conditionalFormatting sqref="G12:I12 G14:I14">
    <cfRule type="iconSet" priority="12">
      <iconSet showValue="0">
        <cfvo type="percent" val="0"/>
        <cfvo type="num" val="2"/>
        <cfvo type="num" val="3"/>
      </iconSet>
    </cfRule>
  </conditionalFormatting>
  <conditionalFormatting sqref="K24">
    <cfRule type="iconSet" priority="5">
      <iconSet showValue="0">
        <cfvo type="percent" val="0"/>
        <cfvo type="num" val="2"/>
        <cfvo type="num" val="3"/>
      </iconSet>
    </cfRule>
  </conditionalFormatting>
  <conditionalFormatting sqref="K25:L25">
    <cfRule type="containsText" dxfId="315" priority="26" operator="containsText" text="PENDIENTE">
      <formula>NOT(ISERROR(SEARCH("PENDIENTE",K25)))</formula>
    </cfRule>
    <cfRule type="containsText" dxfId="314" priority="27" operator="containsText" text="NO VALIDADO">
      <formula>NOT(ISERROR(SEARCH("NO VALIDADO",K25)))</formula>
    </cfRule>
    <cfRule type="containsText" dxfId="313" priority="28" operator="containsText" text="VALIDADO">
      <formula>NOT(ISERROR(SEARCH("VALIDADO",K25)))</formula>
    </cfRule>
  </conditionalFormatting>
  <conditionalFormatting sqref="L24 O24 Q24:R24 T24:U24">
    <cfRule type="iconSet" priority="16">
      <iconSet showValue="0">
        <cfvo type="percent" val="0"/>
        <cfvo type="num" val="2"/>
        <cfvo type="num" val="3"/>
      </iconSet>
    </cfRule>
  </conditionalFormatting>
  <conditionalFormatting sqref="N24">
    <cfRule type="iconSet" priority="4">
      <iconSet showValue="0">
        <cfvo type="percent" val="0"/>
        <cfvo type="num" val="2"/>
        <cfvo type="num" val="3"/>
      </iconSet>
    </cfRule>
  </conditionalFormatting>
  <conditionalFormatting sqref="N25:O25">
    <cfRule type="containsText" dxfId="312" priority="1" operator="containsText" text="PENDIENTE">
      <formula>NOT(ISERROR(SEARCH("PENDIENTE",N25)))</formula>
    </cfRule>
    <cfRule type="containsText" dxfId="311" priority="2" operator="containsText" text="NO VALIDADO">
      <formula>NOT(ISERROR(SEARCH("NO VALIDADO",N25)))</formula>
    </cfRule>
    <cfRule type="containsText" dxfId="310" priority="3" operator="containsText" text="VALIDADO">
      <formula>NOT(ISERROR(SEARCH("VALIDADO",N25)))</formula>
    </cfRule>
  </conditionalFormatting>
  <conditionalFormatting sqref="Q25:R25">
    <cfRule type="containsText" dxfId="309" priority="20" operator="containsText" text="PENDIENTE">
      <formula>NOT(ISERROR(SEARCH("PENDIENTE",Q25)))</formula>
    </cfRule>
    <cfRule type="containsText" dxfId="308" priority="21" operator="containsText" text="NO VALIDADO">
      <formula>NOT(ISERROR(SEARCH("NO VALIDADO",Q25)))</formula>
    </cfRule>
    <cfRule type="containsText" dxfId="307" priority="22" operator="containsText" text="VALIDADO">
      <formula>NOT(ISERROR(SEARCH("VALIDADO",Q25)))</formula>
    </cfRule>
  </conditionalFormatting>
  <conditionalFormatting sqref="T25:U25">
    <cfRule type="containsText" dxfId="306" priority="17" operator="containsText" text="PENDIENTE">
      <formula>NOT(ISERROR(SEARCH("PENDIENTE",T25)))</formula>
    </cfRule>
    <cfRule type="containsText" dxfId="305" priority="18" operator="containsText" text="NO VALIDADO">
      <formula>NOT(ISERROR(SEARCH("NO VALIDADO",T25)))</formula>
    </cfRule>
    <cfRule type="containsText" dxfId="304" priority="19" operator="containsText" text="VALIDADO">
      <formula>NOT(ISERROR(SEARCH("VALIDADO",T25)))</formula>
    </cfRule>
  </conditionalFormatting>
  <dataValidations count="6">
    <dataValidation type="list" allowBlank="1" showInputMessage="1" showErrorMessage="1" sqref="D10" xr:uid="{2D2050A2-C27C-42DA-8751-E9BF811D41E8}">
      <formula1>"No Cumple, Parcial,Cumple,Más que Cumple,Mejor Práctica"</formula1>
    </dataValidation>
    <dataValidation type="list" allowBlank="1" showInputMessage="1" showErrorMessage="1" sqref="S10 Q10" xr:uid="{C88A1B85-C6C8-40BD-8B2D-87CCE4AA1F98}">
      <formula1>"Junio,Julio,Agosto,Septiembre,Octubre"</formula1>
    </dataValidation>
    <dataValidation type="list" allowBlank="1" showInputMessage="1" showErrorMessage="1" sqref="O10" xr:uid="{ED02F8B3-0219-4E18-9E97-E054F0FFDA13}">
      <formula1>"Alta,Baja,No Planificado"</formula1>
    </dataValidation>
    <dataValidation type="list" allowBlank="1" showInputMessage="1" showErrorMessage="1" sqref="AB14:AB15 R14:R15 N14:N15 V14:V15" xr:uid="{E18DFD37-BA0F-4CEC-9DF9-857EA04E916D}">
      <formula1>"No Cumple, Parcial, Cumple, Más que Cumple, Mejor Práctica"</formula1>
    </dataValidation>
    <dataValidation type="list" allowBlank="1" showInputMessage="1" showErrorMessage="1" sqref="M12 Q12 U12" xr:uid="{C344F6DA-DB95-4F3B-B270-87307EFED733}">
      <formula1>"Mayo,Junio,Julio,Agosto,Septiembre,Octubre"</formula1>
    </dataValidation>
    <dataValidation type="list" allowBlank="1" showInputMessage="1" showErrorMessage="1" sqref="K14:K15 O14:O15 S14:S15" xr:uid="{CCD48FA1-0533-4C09-B628-3731CE590784}">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6" id="{8D0C9E56-195C-496F-8BE0-33CA5F0514D3}">
            <x14:iconSet iconSet="3Stars" showValue="0">
              <x14:cfvo type="percent">
                <xm:f>0</xm:f>
              </x14:cfvo>
              <x14:cfvo type="num">
                <xm:f>2</xm:f>
              </x14:cfvo>
              <x14:cfvo type="num">
                <xm:f>3</xm:f>
              </x14:cfvo>
            </x14:iconSet>
          </x14:cfRule>
          <xm:sqref>M10</xm:sqref>
        </x14:conditionalFormatting>
      </x14:conditionalFormattings>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9CE4-2825-40EE-9BD7-84D229C635D4}">
  <sheetPr codeName="Planilha58"/>
  <dimension ref="A1:AB51"/>
  <sheetViews>
    <sheetView showGridLines="0" zoomScale="50" zoomScaleNormal="50" workbookViewId="0">
      <pane xSplit="3" ySplit="4" topLeftCell="D17"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877</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6.0000000000000001E-3</v>
      </c>
      <c r="F7" s="48">
        <f>IF($K$24&lt;&gt;"",IF($K$24=3,3,IF($K$24=2,2,1)),"")</f>
        <v>3</v>
      </c>
      <c r="G7" s="48">
        <f>IF($N$24&lt;&gt;"",IF($N$24=3,3,IF($N$24=2,2,1)),"")</f>
        <v>1</v>
      </c>
      <c r="H7" s="48">
        <f>IF($Q$24&lt;&gt;"",IF($Q$24=3,3,IF($Q$24=2,2,1)),"")</f>
        <v>1</v>
      </c>
      <c r="I7" s="48" t="str">
        <f>IF($T$24&lt;&gt;"",IF($T$24=3,3,IF($T$24=2,2,1)),"")</f>
        <v/>
      </c>
      <c r="J7" s="32"/>
      <c r="K7" s="49" t="s">
        <v>224</v>
      </c>
      <c r="L7" s="46" t="s">
        <v>225</v>
      </c>
      <c r="M7" s="267" t="s">
        <v>878</v>
      </c>
      <c r="N7" s="267"/>
      <c r="O7" s="267"/>
      <c r="P7" s="46" t="s">
        <v>227</v>
      </c>
      <c r="Q7" s="267" t="s">
        <v>879</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1.2749999999999999E-2</v>
      </c>
      <c r="F10" s="52" t="str">
        <f>IF(K20="D","D","-")</f>
        <v>-</v>
      </c>
      <c r="G10" s="52" t="str">
        <f>IF(N20="D","D","-")</f>
        <v>D</v>
      </c>
      <c r="H10" s="52" t="str">
        <f>IF(Q20="D","D","-")</f>
        <v>D</v>
      </c>
      <c r="I10" s="52" t="str">
        <f>IF(T20="D","D","-")</f>
        <v>D</v>
      </c>
      <c r="J10" s="32"/>
      <c r="K10" s="66" t="s">
        <v>230</v>
      </c>
      <c r="L10" s="50" t="s">
        <v>231</v>
      </c>
      <c r="M10" s="75">
        <v>3</v>
      </c>
      <c r="N10" s="50" t="s">
        <v>232</v>
      </c>
      <c r="O10" s="53" t="s">
        <v>302</v>
      </c>
      <c r="P10" s="50" t="s">
        <v>233</v>
      </c>
      <c r="Q10" s="92" t="s">
        <v>286</v>
      </c>
      <c r="R10" s="50" t="s">
        <v>235</v>
      </c>
      <c r="S10" s="92" t="s">
        <v>303</v>
      </c>
      <c r="T10" s="50" t="s">
        <v>237</v>
      </c>
      <c r="U10" s="53" t="s">
        <v>880</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Parcial</v>
      </c>
      <c r="E12" s="273">
        <f>IF($D12="Não cumpre",0,IF($D12="Parcial",$E$18*0.4,IF($D12="Cumpre",$E$18*0.7,IF($D12="Mais que cumpre",$E$18*0.85,IF($D12="Melhor Prática",$E$18,0)))))</f>
        <v>6.0000000000000001E-3</v>
      </c>
      <c r="F12" s="268">
        <f>IF($L$24&lt;&gt;"",IF($L$24=3,3,IF($L$24=2,2,1)),"")</f>
        <v>3</v>
      </c>
      <c r="G12" s="268">
        <f>IF($O$24&lt;&gt;"",IF($O$24=3,3,IF($O$24=2,2,1)),"")</f>
        <v>1</v>
      </c>
      <c r="H12" s="268">
        <f>IF($R$24&lt;&gt;"",IF($R$24=3,3,IF($R$24=2,2,1)),"")</f>
        <v>3</v>
      </c>
      <c r="I12" s="268" t="str">
        <f>IF($U$24&lt;&gt;"",IF($U$24=3,3,IF($U$24=2,2,1)),"")</f>
        <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246</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881</v>
      </c>
      <c r="L18" s="264"/>
      <c r="M18" s="265"/>
      <c r="N18" s="266" t="s">
        <v>882</v>
      </c>
      <c r="O18" s="264"/>
      <c r="P18" s="265"/>
      <c r="Q18" s="266" t="s">
        <v>883</v>
      </c>
      <c r="R18" s="264"/>
      <c r="S18" s="265"/>
      <c r="T18" s="266" t="s">
        <v>884</v>
      </c>
      <c r="U18" s="264"/>
      <c r="V18" s="265"/>
      <c r="W18" s="9"/>
      <c r="X18" s="9"/>
      <c r="Y18" s="23"/>
    </row>
    <row r="19" spans="1:25" ht="141.75" customHeight="1" outlineLevel="2" x14ac:dyDescent="0.3">
      <c r="A19" s="1"/>
      <c r="B19" s="283"/>
      <c r="C19" s="283"/>
      <c r="D19" s="42" t="s">
        <v>257</v>
      </c>
      <c r="E19" s="307" t="s">
        <v>885</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152</v>
      </c>
      <c r="F20" s="288"/>
      <c r="G20" s="288"/>
      <c r="H20" s="288"/>
      <c r="I20" s="288"/>
      <c r="J20" s="25"/>
      <c r="K20" s="266"/>
      <c r="L20" s="264"/>
      <c r="M20" s="265"/>
      <c r="N20" s="266" t="s">
        <v>260</v>
      </c>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293</v>
      </c>
      <c r="L21" s="264"/>
      <c r="M21" s="265"/>
      <c r="N21" s="266" t="s">
        <v>624</v>
      </c>
      <c r="O21" s="264"/>
      <c r="P21" s="265"/>
      <c r="Q21" s="266" t="s">
        <v>886</v>
      </c>
      <c r="R21" s="264"/>
      <c r="S21" s="265"/>
      <c r="T21" s="266" t="s">
        <v>689</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1</v>
      </c>
      <c r="O24" s="40">
        <v>1</v>
      </c>
      <c r="P24" s="289"/>
      <c r="Q24" s="56">
        <v>1</v>
      </c>
      <c r="R24" s="40">
        <v>3</v>
      </c>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887</v>
      </c>
      <c r="L26" s="45"/>
      <c r="M26" s="289"/>
      <c r="N26" s="58"/>
      <c r="O26" s="45" t="s">
        <v>888</v>
      </c>
      <c r="P26" s="289"/>
      <c r="Q26" s="58"/>
      <c r="R26" s="45" t="s">
        <v>1210</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303" priority="6" operator="containsText" text="Finalizado">
      <formula>NOT(ISERROR(SEARCH("Finalizado",D15)))</formula>
    </cfRule>
    <cfRule type="containsText" dxfId="302" priority="7" operator="containsText" text="No Planificado">
      <formula>NOT(ISERROR(SEARCH("No Planificado",D15)))</formula>
    </cfRule>
    <cfRule type="containsText" dxfId="301" priority="8" operator="containsText" text="A Tiempo">
      <formula>NOT(ISERROR(SEARCH("A Tiempo",D15)))</formula>
    </cfRule>
    <cfRule type="containsText" dxfId="300" priority="9" operator="containsText" text="Retrasado">
      <formula>NOT(ISERROR(SEARCH("Retrasado",D15)))</formula>
    </cfRule>
  </conditionalFormatting>
  <conditionalFormatting sqref="F7:F8">
    <cfRule type="iconSet" priority="13">
      <iconSet showValue="0">
        <cfvo type="percent" val="0"/>
        <cfvo type="num" val="2"/>
        <cfvo type="num" val="3"/>
      </iconSet>
    </cfRule>
  </conditionalFormatting>
  <conditionalFormatting sqref="F12 F14">
    <cfRule type="iconSet" priority="11">
      <iconSet showValue="0">
        <cfvo type="percent" val="0"/>
        <cfvo type="num" val="2"/>
        <cfvo type="num" val="3"/>
      </iconSet>
    </cfRule>
  </conditionalFormatting>
  <conditionalFormatting sqref="G7:I8">
    <cfRule type="iconSet" priority="12">
      <iconSet showValue="0">
        <cfvo type="percent" val="0"/>
        <cfvo type="num" val="2"/>
        <cfvo type="num" val="3"/>
      </iconSet>
    </cfRule>
  </conditionalFormatting>
  <conditionalFormatting sqref="G12:I12 G14:I14">
    <cfRule type="iconSet" priority="10">
      <iconSet showValue="0">
        <cfvo type="percent" val="0"/>
        <cfvo type="num" val="2"/>
        <cfvo type="num" val="3"/>
      </iconSet>
    </cfRule>
  </conditionalFormatting>
  <conditionalFormatting sqref="K24">
    <cfRule type="iconSet" priority="4">
      <iconSet showValue="0">
        <cfvo type="percent" val="0"/>
        <cfvo type="num" val="2"/>
        <cfvo type="num" val="3"/>
      </iconSet>
    </cfRule>
  </conditionalFormatting>
  <conditionalFormatting sqref="K25:L25">
    <cfRule type="containsText" dxfId="299" priority="24" operator="containsText" text="PENDIENTE">
      <formula>NOT(ISERROR(SEARCH("PENDIENTE",K25)))</formula>
    </cfRule>
    <cfRule type="containsText" dxfId="298" priority="25" operator="containsText" text="NO VALIDADO">
      <formula>NOT(ISERROR(SEARCH("NO VALIDADO",K25)))</formula>
    </cfRule>
    <cfRule type="containsText" dxfId="297" priority="26" operator="containsText" text="VALIDADO">
      <formula>NOT(ISERROR(SEARCH("VALIDADO",K25)))</formula>
    </cfRule>
  </conditionalFormatting>
  <conditionalFormatting sqref="L24 O24 R24 T24:U24">
    <cfRule type="iconSet" priority="14">
      <iconSet showValue="0">
        <cfvo type="percent" val="0"/>
        <cfvo type="num" val="2"/>
        <cfvo type="num" val="3"/>
      </iconSet>
    </cfRule>
  </conditionalFormatting>
  <conditionalFormatting sqref="N24">
    <cfRule type="iconSet" priority="3">
      <iconSet showValue="0">
        <cfvo type="percent" val="0"/>
        <cfvo type="num" val="2"/>
        <cfvo type="num" val="3"/>
      </iconSet>
    </cfRule>
  </conditionalFormatting>
  <conditionalFormatting sqref="N25:O25">
    <cfRule type="containsText" dxfId="296" priority="21" operator="containsText" text="PENDIENTE">
      <formula>NOT(ISERROR(SEARCH("PENDIENTE",N25)))</formula>
    </cfRule>
    <cfRule type="containsText" dxfId="295" priority="22" operator="containsText" text="NO VALIDADO">
      <formula>NOT(ISERROR(SEARCH("NO VALIDADO",N25)))</formula>
    </cfRule>
    <cfRule type="containsText" dxfId="294" priority="23" operator="containsText" text="VALIDADO">
      <formula>NOT(ISERROR(SEARCH("VALIDADO",N25)))</formula>
    </cfRule>
  </conditionalFormatting>
  <conditionalFormatting sqref="Q24">
    <cfRule type="iconSet" priority="2">
      <iconSet showValue="0">
        <cfvo type="percent" val="0"/>
        <cfvo type="num" val="2"/>
        <cfvo type="num" val="3"/>
      </iconSet>
    </cfRule>
  </conditionalFormatting>
  <conditionalFormatting sqref="Q25:R25">
    <cfRule type="containsText" dxfId="293" priority="18" operator="containsText" text="PENDIENTE">
      <formula>NOT(ISERROR(SEARCH("PENDIENTE",Q25)))</formula>
    </cfRule>
    <cfRule type="containsText" dxfId="292" priority="19" operator="containsText" text="NO VALIDADO">
      <formula>NOT(ISERROR(SEARCH("NO VALIDADO",Q25)))</formula>
    </cfRule>
    <cfRule type="containsText" dxfId="291" priority="20" operator="containsText" text="VALIDADO">
      <formula>NOT(ISERROR(SEARCH("VALIDADO",Q25)))</formula>
    </cfRule>
  </conditionalFormatting>
  <conditionalFormatting sqref="T25:U25">
    <cfRule type="containsText" dxfId="290" priority="15" operator="containsText" text="PENDIENTE">
      <formula>NOT(ISERROR(SEARCH("PENDIENTE",T25)))</formula>
    </cfRule>
    <cfRule type="containsText" dxfId="289" priority="16" operator="containsText" text="NO VALIDADO">
      <formula>NOT(ISERROR(SEARCH("NO VALIDADO",T25)))</formula>
    </cfRule>
    <cfRule type="containsText" dxfId="288" priority="17" operator="containsText" text="VALIDADO">
      <formula>NOT(ISERROR(SEARCH("VALIDADO",T25)))</formula>
    </cfRule>
  </conditionalFormatting>
  <dataValidations count="6">
    <dataValidation type="list" allowBlank="1" showInputMessage="1" showErrorMessage="1" sqref="K14:K15 O14:O15 S14:S15" xr:uid="{49DAA00F-6C4B-4CB6-AAA0-7245C5E57861}">
      <formula1>"No Iniciado, En Progreso,Finalizado"</formula1>
    </dataValidation>
    <dataValidation type="list" allowBlank="1" showInputMessage="1" showErrorMessage="1" sqref="M12 Q12 U12" xr:uid="{B9D00AAB-2E21-4B6B-B1AF-37570B7359C8}">
      <formula1>"Mayo,Junio,Julio,Agosto,Septiembre,Octubre"</formula1>
    </dataValidation>
    <dataValidation type="list" allowBlank="1" showInputMessage="1" showErrorMessage="1" sqref="AB14:AB15 R14:R15 N14:N15 V14:V15" xr:uid="{1C5ABA95-1CA0-46BD-AF9D-14437BD4ED2D}">
      <formula1>"No Cumple, Parcial, Cumple, Más que Cumple, Mejor Práctica"</formula1>
    </dataValidation>
    <dataValidation type="list" allowBlank="1" showInputMessage="1" showErrorMessage="1" sqref="O10" xr:uid="{F2AB58C9-21CE-4EFA-85AF-F9204143DADD}">
      <formula1>"Alta,Baja,No Planificado"</formula1>
    </dataValidation>
    <dataValidation type="list" allowBlank="1" showInputMessage="1" showErrorMessage="1" sqref="S10 Q10" xr:uid="{AE20EDFB-9321-4DFE-9146-78CFDFC3BEEA}">
      <formula1>"Junio,Julio,Agosto,Septiembre,Octubre"</formula1>
    </dataValidation>
    <dataValidation type="list" allowBlank="1" showInputMessage="1" showErrorMessage="1" sqref="D10" xr:uid="{F3DD88F2-CB51-44EF-85E7-FF8A37194DA1}">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A39D5994-8459-4083-9D28-B1D4263AD847}">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42B8-CBE2-4476-9140-0C04E384D706}">
  <sheetPr codeName="Planilha1"/>
  <dimension ref="A1:J32"/>
  <sheetViews>
    <sheetView showGridLines="0" zoomScale="50" zoomScaleNormal="50" workbookViewId="0">
      <selection activeCell="C16" sqref="C16"/>
    </sheetView>
  </sheetViews>
  <sheetFormatPr defaultColWidth="0" defaultRowHeight="15" zeroHeight="1" x14ac:dyDescent="0.25"/>
  <cols>
    <col min="1" max="2" width="9.140625" customWidth="1"/>
    <col min="3" max="3" width="35.140625" customWidth="1"/>
    <col min="4" max="4" width="42.7109375" customWidth="1"/>
    <col min="5" max="5" width="41.140625" customWidth="1"/>
    <col min="6" max="6" width="183" customWidth="1"/>
    <col min="7" max="8" width="9.140625" customWidth="1"/>
    <col min="9" max="16384" width="9.140625" hidden="1"/>
  </cols>
  <sheetData>
    <row r="1" spans="1:8" ht="43.5" x14ac:dyDescent="0.35">
      <c r="A1" s="11"/>
      <c r="B1" s="11"/>
      <c r="C1" s="80" t="s">
        <v>0</v>
      </c>
      <c r="D1" s="11"/>
      <c r="E1" s="11"/>
      <c r="F1" s="11"/>
      <c r="G1" s="11"/>
      <c r="H1" s="1"/>
    </row>
    <row r="2" spans="1:8" ht="37.5" customHeight="1" x14ac:dyDescent="0.25">
      <c r="A2" s="10"/>
      <c r="B2" s="10"/>
      <c r="C2" s="81" t="s">
        <v>1</v>
      </c>
      <c r="D2" s="260" t="s">
        <v>181</v>
      </c>
      <c r="E2" s="260"/>
      <c r="F2" s="260"/>
      <c r="G2" s="260"/>
      <c r="H2" s="1"/>
    </row>
    <row r="3" spans="1:8" x14ac:dyDescent="0.25">
      <c r="A3" s="1"/>
      <c r="B3" s="1"/>
      <c r="C3" s="1"/>
      <c r="D3" s="1"/>
      <c r="E3" s="1"/>
      <c r="F3" s="1"/>
      <c r="G3" s="1"/>
      <c r="H3" s="1"/>
    </row>
    <row r="4" spans="1:8" ht="12.75" customHeight="1" x14ac:dyDescent="0.35">
      <c r="A4" s="1"/>
      <c r="B4" s="1"/>
      <c r="C4" s="126"/>
      <c r="D4" s="126"/>
      <c r="E4" s="126"/>
      <c r="F4" s="126"/>
      <c r="G4" s="126"/>
      <c r="H4" s="1"/>
    </row>
    <row r="5" spans="1:8" ht="29.25" x14ac:dyDescent="0.35">
      <c r="A5" s="1"/>
      <c r="B5" s="1"/>
      <c r="C5" s="261" t="s">
        <v>182</v>
      </c>
      <c r="D5" s="261"/>
      <c r="E5" s="261"/>
      <c r="F5" s="261"/>
      <c r="G5" s="261"/>
      <c r="H5" s="1"/>
    </row>
    <row r="6" spans="1:8" ht="24" customHeight="1" x14ac:dyDescent="0.35">
      <c r="A6" s="1"/>
      <c r="B6" s="1"/>
      <c r="C6" s="259"/>
      <c r="D6" s="259" t="s">
        <v>183</v>
      </c>
      <c r="E6" s="127" t="s">
        <v>184</v>
      </c>
      <c r="F6" s="126" t="s">
        <v>185</v>
      </c>
      <c r="G6" s="126"/>
      <c r="H6" s="1"/>
    </row>
    <row r="7" spans="1:8" ht="24" x14ac:dyDescent="0.35">
      <c r="A7" s="1"/>
      <c r="B7" s="1"/>
      <c r="C7" s="259"/>
      <c r="D7" s="259"/>
      <c r="E7" s="127" t="s">
        <v>186</v>
      </c>
      <c r="F7" s="133" t="s">
        <v>187</v>
      </c>
      <c r="G7" s="126"/>
      <c r="H7" s="1"/>
    </row>
    <row r="8" spans="1:8" ht="51" customHeight="1" x14ac:dyDescent="0.35">
      <c r="A8" s="1"/>
      <c r="B8" s="1"/>
      <c r="C8" s="259"/>
      <c r="D8" s="259"/>
      <c r="E8" s="127"/>
      <c r="F8" s="126"/>
      <c r="G8" s="126"/>
      <c r="H8" s="1"/>
    </row>
    <row r="9" spans="1:8" ht="24" x14ac:dyDescent="0.35">
      <c r="A9" s="1"/>
      <c r="B9" s="1"/>
      <c r="C9" s="126"/>
      <c r="D9" s="126"/>
      <c r="E9" s="126"/>
      <c r="F9" s="126"/>
      <c r="G9" s="126"/>
      <c r="H9" s="1"/>
    </row>
    <row r="10" spans="1:8" ht="29.25" x14ac:dyDescent="0.35">
      <c r="A10" s="1"/>
      <c r="B10" s="1"/>
      <c r="C10" s="261" t="s">
        <v>188</v>
      </c>
      <c r="D10" s="261"/>
      <c r="E10" s="261"/>
      <c r="F10" s="261"/>
      <c r="G10" s="261"/>
      <c r="H10" s="1"/>
    </row>
    <row r="11" spans="1:8" ht="24" customHeight="1" x14ac:dyDescent="0.25">
      <c r="A11" s="1"/>
      <c r="B11" s="1"/>
      <c r="C11" s="136"/>
      <c r="D11" s="136"/>
      <c r="E11" s="127" t="s">
        <v>189</v>
      </c>
      <c r="F11" s="128" t="s">
        <v>190</v>
      </c>
      <c r="G11" s="128"/>
      <c r="H11" s="1"/>
    </row>
    <row r="12" spans="1:8" ht="72.75" customHeight="1" x14ac:dyDescent="0.25">
      <c r="A12" s="1"/>
      <c r="B12" s="1"/>
      <c r="C12" s="136"/>
      <c r="D12" s="136"/>
      <c r="E12" s="129" t="s">
        <v>191</v>
      </c>
      <c r="F12" s="132" t="s">
        <v>192</v>
      </c>
      <c r="G12" s="132"/>
      <c r="H12" s="1"/>
    </row>
    <row r="13" spans="1:8" ht="24" x14ac:dyDescent="0.25">
      <c r="A13" s="1"/>
      <c r="B13" s="1"/>
      <c r="C13" s="136"/>
      <c r="D13" s="136"/>
      <c r="E13" s="127" t="s">
        <v>193</v>
      </c>
      <c r="F13" s="128" t="s">
        <v>194</v>
      </c>
      <c r="G13" s="128"/>
      <c r="H13" s="1"/>
    </row>
    <row r="14" spans="1:8" ht="24" x14ac:dyDescent="0.25">
      <c r="A14" s="1"/>
      <c r="B14" s="1"/>
      <c r="C14" s="136"/>
      <c r="D14" s="136"/>
      <c r="E14" s="127" t="s">
        <v>195</v>
      </c>
      <c r="F14" s="135" t="s">
        <v>196</v>
      </c>
      <c r="G14" s="128"/>
      <c r="H14" s="1"/>
    </row>
    <row r="15" spans="1:8" ht="57" customHeight="1" x14ac:dyDescent="0.25">
      <c r="A15" s="1"/>
      <c r="B15" s="1"/>
      <c r="C15" s="259" t="s">
        <v>197</v>
      </c>
      <c r="D15" s="259"/>
      <c r="E15" s="127" t="s">
        <v>198</v>
      </c>
      <c r="F15" s="132" t="s">
        <v>199</v>
      </c>
      <c r="G15" s="132"/>
      <c r="H15" s="1"/>
    </row>
    <row r="16" spans="1:8" ht="24" x14ac:dyDescent="0.25">
      <c r="A16" s="1"/>
      <c r="B16" s="1"/>
      <c r="C16" s="259"/>
      <c r="D16" s="259"/>
      <c r="E16" s="127" t="s">
        <v>200</v>
      </c>
      <c r="F16" s="128" t="s">
        <v>201</v>
      </c>
      <c r="G16" s="128"/>
      <c r="H16" s="1"/>
    </row>
    <row r="17" spans="1:10" ht="24" x14ac:dyDescent="0.25">
      <c r="A17" s="1"/>
      <c r="B17" s="1"/>
      <c r="C17" s="259"/>
      <c r="D17" s="259"/>
      <c r="E17" s="127" t="s">
        <v>202</v>
      </c>
      <c r="F17" s="128" t="s">
        <v>203</v>
      </c>
      <c r="G17" s="128"/>
      <c r="H17" s="1"/>
    </row>
    <row r="18" spans="1:10" ht="24" x14ac:dyDescent="0.25">
      <c r="A18" s="1"/>
      <c r="B18" s="1"/>
      <c r="C18" s="259"/>
      <c r="D18" s="259"/>
      <c r="E18" s="127" t="s">
        <v>63</v>
      </c>
      <c r="F18" s="128" t="s">
        <v>204</v>
      </c>
      <c r="G18" s="128"/>
      <c r="H18" s="1"/>
    </row>
    <row r="19" spans="1:10" ht="24" x14ac:dyDescent="0.25">
      <c r="A19" s="1"/>
      <c r="B19" s="1"/>
      <c r="C19" s="259"/>
      <c r="D19" s="259"/>
      <c r="E19" s="127" t="s">
        <v>64</v>
      </c>
      <c r="F19" s="128" t="s">
        <v>205</v>
      </c>
      <c r="G19" s="128"/>
      <c r="H19" s="1"/>
    </row>
    <row r="20" spans="1:10" ht="24" x14ac:dyDescent="0.25">
      <c r="A20" s="1"/>
      <c r="B20" s="1"/>
      <c r="C20" s="259"/>
      <c r="D20" s="259"/>
      <c r="E20" s="127" t="s">
        <v>206</v>
      </c>
      <c r="F20" s="128" t="s">
        <v>207</v>
      </c>
      <c r="G20" s="128"/>
      <c r="H20" s="1"/>
    </row>
    <row r="21" spans="1:10" ht="24" x14ac:dyDescent="0.25">
      <c r="A21" s="1"/>
      <c r="B21" s="1"/>
      <c r="C21" s="259"/>
      <c r="D21" s="259"/>
      <c r="E21" s="127" t="s">
        <v>70</v>
      </c>
      <c r="F21" s="128" t="s">
        <v>208</v>
      </c>
      <c r="G21" s="128"/>
      <c r="H21" s="1"/>
    </row>
    <row r="22" spans="1:10" ht="24" x14ac:dyDescent="0.35">
      <c r="A22" s="1"/>
      <c r="B22" s="1"/>
      <c r="C22" s="126"/>
      <c r="D22" s="126"/>
      <c r="E22" s="126"/>
      <c r="F22" s="126"/>
      <c r="G22" s="126"/>
      <c r="H22" s="1"/>
    </row>
    <row r="23" spans="1:10" ht="29.25" x14ac:dyDescent="0.35">
      <c r="A23" s="1"/>
      <c r="B23" s="1"/>
      <c r="C23" s="262" t="s">
        <v>209</v>
      </c>
      <c r="D23" s="262"/>
      <c r="E23" s="262"/>
      <c r="F23" s="262"/>
      <c r="G23" s="262"/>
      <c r="H23" s="1"/>
    </row>
    <row r="24" spans="1:10" ht="66.75" customHeight="1" x14ac:dyDescent="0.25">
      <c r="A24" s="1"/>
      <c r="B24" s="1"/>
      <c r="C24" s="136"/>
      <c r="D24" s="136"/>
      <c r="E24" s="129" t="s">
        <v>210</v>
      </c>
      <c r="F24" s="130" t="s">
        <v>211</v>
      </c>
      <c r="G24" s="130"/>
      <c r="H24" s="131"/>
      <c r="I24" s="112"/>
      <c r="J24" s="112"/>
    </row>
    <row r="25" spans="1:10" ht="24" x14ac:dyDescent="0.25">
      <c r="A25" s="1"/>
      <c r="B25" s="1"/>
      <c r="C25" s="136"/>
      <c r="D25" s="136"/>
      <c r="E25" s="129" t="s">
        <v>212</v>
      </c>
      <c r="F25" s="130" t="s">
        <v>213</v>
      </c>
      <c r="G25" s="130"/>
      <c r="H25" s="131"/>
      <c r="I25" s="112"/>
      <c r="J25" s="112"/>
    </row>
    <row r="26" spans="1:10" ht="63.75" customHeight="1" x14ac:dyDescent="0.25">
      <c r="A26" s="1"/>
      <c r="B26" s="1"/>
      <c r="C26" s="259" t="s">
        <v>214</v>
      </c>
      <c r="D26" s="259"/>
      <c r="E26" s="129" t="s">
        <v>215</v>
      </c>
      <c r="F26" s="135" t="s">
        <v>216</v>
      </c>
      <c r="G26" s="135"/>
      <c r="H26" s="135"/>
      <c r="I26" s="134"/>
      <c r="J26" s="134"/>
    </row>
    <row r="27" spans="1:10" ht="67.5" customHeight="1" x14ac:dyDescent="0.25">
      <c r="A27" s="1"/>
      <c r="B27" s="1"/>
      <c r="C27" s="259"/>
      <c r="D27" s="259"/>
      <c r="E27" s="129" t="s">
        <v>191</v>
      </c>
      <c r="F27" s="135" t="s">
        <v>217</v>
      </c>
      <c r="G27" s="135"/>
      <c r="H27" s="132"/>
      <c r="I27" s="113"/>
      <c r="J27" s="113"/>
    </row>
    <row r="28" spans="1:10" ht="45" x14ac:dyDescent="0.25">
      <c r="A28" s="1"/>
      <c r="B28" s="1"/>
      <c r="C28" s="259"/>
      <c r="D28" s="259"/>
      <c r="E28" s="129" t="s">
        <v>218</v>
      </c>
      <c r="F28" s="130"/>
      <c r="G28" s="130"/>
      <c r="H28" s="131"/>
      <c r="I28" s="112"/>
      <c r="J28" s="112"/>
    </row>
    <row r="29" spans="1:10" ht="24" x14ac:dyDescent="0.35">
      <c r="A29" s="1"/>
      <c r="B29" s="1"/>
      <c r="C29" s="133"/>
      <c r="D29" s="130"/>
      <c r="E29" s="130"/>
      <c r="F29" s="130"/>
      <c r="G29" s="130"/>
      <c r="H29" s="131"/>
      <c r="I29" s="112"/>
      <c r="J29" s="112"/>
    </row>
    <row r="30" spans="1:10" ht="24" x14ac:dyDescent="0.35">
      <c r="C30" s="106"/>
      <c r="D30" s="107"/>
      <c r="E30" s="107"/>
      <c r="F30" s="107"/>
      <c r="G30" s="107"/>
    </row>
    <row r="31" spans="1:10" ht="15" hidden="1" customHeight="1" x14ac:dyDescent="0.35">
      <c r="C31" s="106"/>
    </row>
    <row r="32" spans="1:10" ht="15" hidden="1" customHeight="1" x14ac:dyDescent="0.35">
      <c r="C32" s="106"/>
    </row>
  </sheetData>
  <mergeCells count="8">
    <mergeCell ref="C6:C8"/>
    <mergeCell ref="D6:D8"/>
    <mergeCell ref="C15:D21"/>
    <mergeCell ref="C26:D28"/>
    <mergeCell ref="D2:G2"/>
    <mergeCell ref="C5:G5"/>
    <mergeCell ref="C10:G10"/>
    <mergeCell ref="C23:G23"/>
  </mergeCells>
  <pageMargins left="0.511811024" right="0.511811024" top="0.78740157499999996" bottom="0.78740157499999996" header="0.31496062000000002" footer="0.31496062000000002"/>
  <pageSetup paperSize="9" orientation="portrait"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CE7CE-09EA-4DA4-8ED2-6B8DE80F09C4}">
  <sheetPr codeName="Planilha59"/>
  <dimension ref="A1:AB51"/>
  <sheetViews>
    <sheetView showGridLines="0" zoomScale="50" zoomScaleNormal="50" workbookViewId="0">
      <pane xSplit="3" ySplit="4" topLeftCell="D9" activePane="bottomRight" state="frozen"/>
      <selection activeCell="C16" sqref="C16"/>
      <selection pane="topRight" activeCell="C16" sqref="C16"/>
      <selection pane="bottomLeft" activeCell="C16" sqref="C16"/>
      <selection pane="bottomRight" activeCell="K9" sqref="K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889</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2E-3</v>
      </c>
      <c r="F7" s="48">
        <f>IF($K$24&lt;&gt;"",IF($K$24=3,3,IF($K$24=2,2,1)),"")</f>
        <v>3</v>
      </c>
      <c r="G7" s="48">
        <f>IF($N$24&lt;&gt;"",IF($N$24=3,3,IF($N$24=2,2,1)),"")</f>
        <v>2</v>
      </c>
      <c r="H7" s="48">
        <f>IF($Q$24&lt;&gt;"",IF($Q$24=3,3,IF($Q$24=2,2,1)),"")</f>
        <v>3</v>
      </c>
      <c r="I7" s="48" t="str">
        <f>IF($T$24&lt;&gt;"",IF($T$24=3,3,IF($T$24=2,2,1)),"")</f>
        <v/>
      </c>
      <c r="J7" s="32"/>
      <c r="K7" s="49" t="s">
        <v>224</v>
      </c>
      <c r="L7" s="46" t="s">
        <v>225</v>
      </c>
      <c r="M7" s="267" t="s">
        <v>890</v>
      </c>
      <c r="N7" s="267"/>
      <c r="O7" s="267"/>
      <c r="P7" s="46" t="s">
        <v>227</v>
      </c>
      <c r="Q7" s="267" t="s">
        <v>891</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4.2500000000000003E-3</v>
      </c>
      <c r="F10" s="52" t="str">
        <f>IF(K20="D","D","-")</f>
        <v>-</v>
      </c>
      <c r="G10" s="52" t="str">
        <f>IF(N20="D","D","-")</f>
        <v>-</v>
      </c>
      <c r="H10" s="52" t="str">
        <f>IF(Q20="D","D","-")</f>
        <v>D</v>
      </c>
      <c r="I10" s="52" t="str">
        <f>IF(T20="D","D","-")</f>
        <v>D</v>
      </c>
      <c r="J10" s="32"/>
      <c r="K10" s="66" t="s">
        <v>230</v>
      </c>
      <c r="L10" s="50" t="s">
        <v>231</v>
      </c>
      <c r="M10" s="75">
        <v>3</v>
      </c>
      <c r="N10" s="50" t="s">
        <v>232</v>
      </c>
      <c r="O10" s="53" t="s">
        <v>374</v>
      </c>
      <c r="P10" s="50" t="s">
        <v>233</v>
      </c>
      <c r="Q10" s="92" t="s">
        <v>286</v>
      </c>
      <c r="R10" s="50" t="s">
        <v>235</v>
      </c>
      <c r="S10" s="92" t="s">
        <v>303</v>
      </c>
      <c r="T10" s="50" t="s">
        <v>237</v>
      </c>
      <c r="U10" s="53" t="s">
        <v>892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4.2500000000000003E-3</v>
      </c>
      <c r="F12" s="268">
        <f>IF($L$24&lt;&gt;"",IF($L$24=3,3,IF($L$24=2,2,1)),"")</f>
        <v>3</v>
      </c>
      <c r="G12" s="268">
        <f>IF($O$24&lt;&gt;"",IF($O$24=3,3,IF($O$24=2,2,1)),"")</f>
        <v>3</v>
      </c>
      <c r="H12" s="268">
        <f>IF($R$24&lt;&gt;"",IF($R$24=3,3,IF($R$24=2,2,1)),"")</f>
        <v>3</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5.0000000000000001E-3</v>
      </c>
      <c r="F18" s="116"/>
      <c r="G18" s="116"/>
      <c r="H18" s="116"/>
      <c r="I18" s="116"/>
      <c r="J18" s="9"/>
      <c r="K18" s="266" t="s">
        <v>893</v>
      </c>
      <c r="L18" s="264"/>
      <c r="M18" s="265"/>
      <c r="N18" s="266" t="s">
        <v>894</v>
      </c>
      <c r="O18" s="264"/>
      <c r="P18" s="265"/>
      <c r="Q18" s="266" t="s">
        <v>895</v>
      </c>
      <c r="R18" s="264"/>
      <c r="S18" s="265"/>
      <c r="T18" s="266" t="s">
        <v>896</v>
      </c>
      <c r="U18" s="264"/>
      <c r="V18" s="265"/>
      <c r="W18" s="9"/>
      <c r="X18" s="9"/>
      <c r="Y18" s="23"/>
    </row>
    <row r="19" spans="1:25" ht="141.75" customHeight="1" outlineLevel="2" x14ac:dyDescent="0.3">
      <c r="A19" s="1"/>
      <c r="B19" s="283"/>
      <c r="C19" s="283"/>
      <c r="D19" s="42" t="s">
        <v>257</v>
      </c>
      <c r="E19" s="307" t="s">
        <v>897</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152</v>
      </c>
      <c r="F20" s="288"/>
      <c r="G20" s="288"/>
      <c r="H20" s="288"/>
      <c r="I20" s="288"/>
      <c r="J20" s="25"/>
      <c r="K20" s="266"/>
      <c r="L20" s="264"/>
      <c r="M20" s="265"/>
      <c r="N20" s="266"/>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293</v>
      </c>
      <c r="L21" s="264"/>
      <c r="M21" s="265"/>
      <c r="N21" s="266" t="s">
        <v>702</v>
      </c>
      <c r="O21" s="264"/>
      <c r="P21" s="265"/>
      <c r="Q21" s="266" t="s">
        <v>313</v>
      </c>
      <c r="R21" s="264"/>
      <c r="S21" s="265"/>
      <c r="T21" s="266" t="s">
        <v>898</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v>3</v>
      </c>
      <c r="R24" s="40">
        <v>3</v>
      </c>
      <c r="S24" s="289" t="s">
        <v>899</v>
      </c>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890</v>
      </c>
      <c r="L26" s="45"/>
      <c r="M26" s="289"/>
      <c r="N26" s="58"/>
      <c r="O26" s="45" t="s">
        <v>1211</v>
      </c>
      <c r="P26" s="289"/>
      <c r="Q26" s="58"/>
      <c r="R26" s="45" t="s">
        <v>1173</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t="s">
        <v>1212</v>
      </c>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287" priority="6" operator="containsText" text="Finalizado">
      <formula>NOT(ISERROR(SEARCH("Finalizado",D15)))</formula>
    </cfRule>
    <cfRule type="containsText" dxfId="286" priority="7" operator="containsText" text="No Planificado">
      <formula>NOT(ISERROR(SEARCH("No Planificado",D15)))</formula>
    </cfRule>
    <cfRule type="containsText" dxfId="285" priority="8" operator="containsText" text="A Tiempo">
      <formula>NOT(ISERROR(SEARCH("A Tiempo",D15)))</formula>
    </cfRule>
    <cfRule type="containsText" dxfId="284" priority="9" operator="containsText" text="Retrasado">
      <formula>NOT(ISERROR(SEARCH("Retrasado",D15)))</formula>
    </cfRule>
  </conditionalFormatting>
  <conditionalFormatting sqref="F7:F8">
    <cfRule type="iconSet" priority="13">
      <iconSet showValue="0">
        <cfvo type="percent" val="0"/>
        <cfvo type="num" val="2"/>
        <cfvo type="num" val="3"/>
      </iconSet>
    </cfRule>
  </conditionalFormatting>
  <conditionalFormatting sqref="F12 F14">
    <cfRule type="iconSet" priority="11">
      <iconSet showValue="0">
        <cfvo type="percent" val="0"/>
        <cfvo type="num" val="2"/>
        <cfvo type="num" val="3"/>
      </iconSet>
    </cfRule>
  </conditionalFormatting>
  <conditionalFormatting sqref="G7:I8">
    <cfRule type="iconSet" priority="12">
      <iconSet showValue="0">
        <cfvo type="percent" val="0"/>
        <cfvo type="num" val="2"/>
        <cfvo type="num" val="3"/>
      </iconSet>
    </cfRule>
  </conditionalFormatting>
  <conditionalFormatting sqref="G12:I12 G14:I14">
    <cfRule type="iconSet" priority="10">
      <iconSet showValue="0">
        <cfvo type="percent" val="0"/>
        <cfvo type="num" val="2"/>
        <cfvo type="num" val="3"/>
      </iconSet>
    </cfRule>
  </conditionalFormatting>
  <conditionalFormatting sqref="K24">
    <cfRule type="iconSet" priority="4">
      <iconSet showValue="0">
        <cfvo type="percent" val="0"/>
        <cfvo type="num" val="2"/>
        <cfvo type="num" val="3"/>
      </iconSet>
    </cfRule>
  </conditionalFormatting>
  <conditionalFormatting sqref="K25:L25">
    <cfRule type="containsText" dxfId="283" priority="24" operator="containsText" text="PENDIENTE">
      <formula>NOT(ISERROR(SEARCH("PENDIENTE",K25)))</formula>
    </cfRule>
    <cfRule type="containsText" dxfId="282" priority="25" operator="containsText" text="NO VALIDADO">
      <formula>NOT(ISERROR(SEARCH("NO VALIDADO",K25)))</formula>
    </cfRule>
    <cfRule type="containsText" dxfId="281" priority="26" operator="containsText" text="VALIDADO">
      <formula>NOT(ISERROR(SEARCH("VALIDADO",K25)))</formula>
    </cfRule>
  </conditionalFormatting>
  <conditionalFormatting sqref="L24 O24 R24 T24:U24">
    <cfRule type="iconSet" priority="14">
      <iconSet showValue="0">
        <cfvo type="percent" val="0"/>
        <cfvo type="num" val="2"/>
        <cfvo type="num" val="3"/>
      </iconSet>
    </cfRule>
  </conditionalFormatting>
  <conditionalFormatting sqref="N24">
    <cfRule type="iconSet" priority="2">
      <iconSet showValue="0">
        <cfvo type="percent" val="0"/>
        <cfvo type="num" val="2"/>
        <cfvo type="num" val="3"/>
      </iconSet>
    </cfRule>
  </conditionalFormatting>
  <conditionalFormatting sqref="N25:O25">
    <cfRule type="containsText" dxfId="280" priority="21" operator="containsText" text="PENDIENTE">
      <formula>NOT(ISERROR(SEARCH("PENDIENTE",N25)))</formula>
    </cfRule>
    <cfRule type="containsText" dxfId="279" priority="22" operator="containsText" text="NO VALIDADO">
      <formula>NOT(ISERROR(SEARCH("NO VALIDADO",N25)))</formula>
    </cfRule>
    <cfRule type="containsText" dxfId="278" priority="23" operator="containsText" text="VALIDADO">
      <formula>NOT(ISERROR(SEARCH("VALIDADO",N25)))</formula>
    </cfRule>
  </conditionalFormatting>
  <conditionalFormatting sqref="Q24">
    <cfRule type="iconSet" priority="3">
      <iconSet showValue="0">
        <cfvo type="percent" val="0"/>
        <cfvo type="num" val="2"/>
        <cfvo type="num" val="3"/>
      </iconSet>
    </cfRule>
  </conditionalFormatting>
  <conditionalFormatting sqref="Q25:R25">
    <cfRule type="containsText" dxfId="277" priority="18" operator="containsText" text="PENDIENTE">
      <formula>NOT(ISERROR(SEARCH("PENDIENTE",Q25)))</formula>
    </cfRule>
    <cfRule type="containsText" dxfId="276" priority="19" operator="containsText" text="NO VALIDADO">
      <formula>NOT(ISERROR(SEARCH("NO VALIDADO",Q25)))</formula>
    </cfRule>
    <cfRule type="containsText" dxfId="275" priority="20" operator="containsText" text="VALIDADO">
      <formula>NOT(ISERROR(SEARCH("VALIDADO",Q25)))</formula>
    </cfRule>
  </conditionalFormatting>
  <conditionalFormatting sqref="T25:U25">
    <cfRule type="containsText" dxfId="274" priority="15" operator="containsText" text="PENDIENTE">
      <formula>NOT(ISERROR(SEARCH("PENDIENTE",T25)))</formula>
    </cfRule>
    <cfRule type="containsText" dxfId="273" priority="16" operator="containsText" text="NO VALIDADO">
      <formula>NOT(ISERROR(SEARCH("NO VALIDADO",T25)))</formula>
    </cfRule>
    <cfRule type="containsText" dxfId="272" priority="17" operator="containsText" text="VALIDADO">
      <formula>NOT(ISERROR(SEARCH("VALIDADO",T25)))</formula>
    </cfRule>
  </conditionalFormatting>
  <dataValidations count="6">
    <dataValidation type="list" allowBlank="1" showInputMessage="1" showErrorMessage="1" sqref="D10" xr:uid="{CFB1194D-C3A6-420F-966B-DD933C8EE521}">
      <formula1>"No Cumple, Parcial,Cumple,Más que Cumple,Mejor Práctica"</formula1>
    </dataValidation>
    <dataValidation type="list" allowBlank="1" showInputMessage="1" showErrorMessage="1" sqref="S10 Q10" xr:uid="{687BC2C2-3E32-4579-96DA-C0787F3EE956}">
      <formula1>"Junio,Julio,Agosto,Septiembre,Octubre"</formula1>
    </dataValidation>
    <dataValidation type="list" allowBlank="1" showInputMessage="1" showErrorMessage="1" sqref="O10" xr:uid="{F70B2144-EA7B-4015-B5DC-33816438CB80}">
      <formula1>"Alta,Baja,No Planificado"</formula1>
    </dataValidation>
    <dataValidation type="list" allowBlank="1" showInputMessage="1" showErrorMessage="1" sqref="AB14:AB15 R14:R15 N14:N15 V14:V15" xr:uid="{74569E25-41BE-4BDB-ACD8-1E7990B40284}">
      <formula1>"No Cumple, Parcial, Cumple, Más que Cumple, Mejor Práctica"</formula1>
    </dataValidation>
    <dataValidation type="list" allowBlank="1" showInputMessage="1" showErrorMessage="1" sqref="M12 Q12 U12" xr:uid="{5819A36F-7B6F-4832-AAC6-23FFE385D382}">
      <formula1>"Mayo,Junio,Julio,Agosto,Septiembre,Octubre"</formula1>
    </dataValidation>
    <dataValidation type="list" allowBlank="1" showInputMessage="1" showErrorMessage="1" sqref="K14:K15 O14:O15 S14:S15" xr:uid="{AF6D578E-59DC-4BB8-A056-F920C7B9B52C}">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C4739F4-DBCB-400B-8CFE-E886FB2F1DF5}">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7C0F-7424-4170-AC02-EC756C454AC5}">
  <sheetPr codeName="Planilha60"/>
  <dimension ref="A1:AB51"/>
  <sheetViews>
    <sheetView showGridLines="0" zoomScale="50" zoomScaleNormal="50" workbookViewId="0">
      <pane xSplit="3" ySplit="4" topLeftCell="D17"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900</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t="str">
        <f>IF($N$24&lt;&gt;"",IF($N$24=3,3,IF($N$24=2,2,1)),"")</f>
        <v/>
      </c>
      <c r="H7" s="48" t="str">
        <f>IF($Q$24&lt;&gt;"",IF($Q$24=3,3,IF($Q$24=2,2,1)),"")</f>
        <v/>
      </c>
      <c r="I7" s="48" t="str">
        <f>IF($T$24&lt;&gt;"",IF($T$24=3,3,IF($T$24=2,2,1)),"")</f>
        <v/>
      </c>
      <c r="J7" s="32"/>
      <c r="K7" s="49" t="s">
        <v>224</v>
      </c>
      <c r="L7" s="46" t="s">
        <v>225</v>
      </c>
      <c r="M7" s="267"/>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246</v>
      </c>
      <c r="E10" s="51">
        <f>IF($D10="Não cumpre",0,IF($D10="Parcial",$E$18*0.4,IF($D10="Cumpre",$E$18*0.7,IF($D10="Mais que cumpre",$E$18*0.85,IF($D10="Melhor Prática",$E$18,0)))))</f>
        <v>6.0000000000000001E-3</v>
      </c>
      <c r="F10" s="52" t="str">
        <f>IF(K20="D","D","-")</f>
        <v>D</v>
      </c>
      <c r="G10" s="52" t="str">
        <f>IF(N20="D","D","-")</f>
        <v>D</v>
      </c>
      <c r="H10" s="52" t="str">
        <f>IF(Q20="D","D","-")</f>
        <v>-</v>
      </c>
      <c r="I10" s="52" t="str">
        <f>IF(T20="D","D","-")</f>
        <v>-</v>
      </c>
      <c r="J10" s="32"/>
      <c r="K10" s="66" t="s">
        <v>230</v>
      </c>
      <c r="L10" s="50" t="s">
        <v>231</v>
      </c>
      <c r="M10" s="75">
        <v>1</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Parcial</v>
      </c>
      <c r="E12" s="273">
        <f>IF($D12="Não cumpre",0,IF($D12="Parcial",$E$18*0.4,IF($D12="Cumpre",$E$18*0.7,IF($D12="Mais que cumpre",$E$18*0.85,IF($D12="Melhor Prática",$E$18,0)))))</f>
        <v>6.0000000000000001E-3</v>
      </c>
      <c r="F12" s="268">
        <f>IF($L$24&lt;&gt;"",IF($L$24=3,3,IF($L$24=2,2,1)),"")</f>
        <v>3</v>
      </c>
      <c r="G12" s="268">
        <f>IF($O$24&lt;&gt;"",IF($O$24=3,3,IF($O$24=2,2,1)),"")</f>
        <v>2</v>
      </c>
      <c r="H12" s="268">
        <f>IF($R$24&lt;&gt;"",IF($R$24=3,3,IF($R$24=2,2,1)),"")</f>
        <v>2</v>
      </c>
      <c r="I12" s="268" t="str">
        <f>IF($U$24&lt;&gt;"",IF($U$24=3,3,IF($U$24=2,2,1)),"")</f>
        <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390</v>
      </c>
      <c r="O14" s="266" t="s">
        <v>247</v>
      </c>
      <c r="P14" s="286"/>
      <c r="Q14" s="286"/>
      <c r="R14" s="265" t="s">
        <v>422</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901</v>
      </c>
      <c r="L18" s="264"/>
      <c r="M18" s="265"/>
      <c r="N18" s="266" t="s">
        <v>902</v>
      </c>
      <c r="O18" s="264"/>
      <c r="P18" s="265"/>
      <c r="Q18" s="266" t="s">
        <v>903</v>
      </c>
      <c r="R18" s="264"/>
      <c r="S18" s="265"/>
      <c r="T18" s="266" t="s">
        <v>904</v>
      </c>
      <c r="U18" s="264"/>
      <c r="V18" s="265"/>
      <c r="W18" s="9"/>
      <c r="X18" s="9"/>
      <c r="Y18" s="23"/>
    </row>
    <row r="19" spans="1:25" ht="141.75" customHeight="1" outlineLevel="2" x14ac:dyDescent="0.3">
      <c r="A19" s="1"/>
      <c r="B19" s="283"/>
      <c r="C19" s="283"/>
      <c r="D19" s="42" t="s">
        <v>257</v>
      </c>
      <c r="E19" s="307" t="s">
        <v>905</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102</v>
      </c>
      <c r="F20" s="288"/>
      <c r="G20" s="288"/>
      <c r="H20" s="288"/>
      <c r="I20" s="288"/>
      <c r="J20" s="25"/>
      <c r="K20" s="266" t="s">
        <v>260</v>
      </c>
      <c r="L20" s="264"/>
      <c r="M20" s="265"/>
      <c r="N20" s="266" t="s">
        <v>260</v>
      </c>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716</v>
      </c>
      <c r="L21" s="264"/>
      <c r="M21" s="265"/>
      <c r="N21" s="266" t="s">
        <v>906</v>
      </c>
      <c r="O21" s="264"/>
      <c r="P21" s="265"/>
      <c r="Q21" s="266" t="s">
        <v>906</v>
      </c>
      <c r="R21" s="264"/>
      <c r="S21" s="265"/>
      <c r="T21" s="266" t="s">
        <v>907</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c r="O24" s="40">
        <v>2</v>
      </c>
      <c r="P24" s="289"/>
      <c r="Q24" s="56"/>
      <c r="R24" s="40">
        <v>2</v>
      </c>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45" t="s">
        <v>908</v>
      </c>
      <c r="L26" s="45" t="s">
        <v>1175</v>
      </c>
      <c r="M26" s="289"/>
      <c r="N26" s="58"/>
      <c r="O26" s="45" t="s">
        <v>1174</v>
      </c>
      <c r="P26" s="289"/>
      <c r="Q26" s="58"/>
      <c r="R26" s="45" t="s">
        <v>1176</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271" priority="3" operator="containsText" text="Finalizado">
      <formula>NOT(ISERROR(SEARCH("Finalizado",D15)))</formula>
    </cfRule>
    <cfRule type="containsText" dxfId="270" priority="4" operator="containsText" text="No Planificado">
      <formula>NOT(ISERROR(SEARCH("No Planificado",D15)))</formula>
    </cfRule>
    <cfRule type="containsText" dxfId="269" priority="5" operator="containsText" text="A Tiempo">
      <formula>NOT(ISERROR(SEARCH("A Tiempo",D15)))</formula>
    </cfRule>
    <cfRule type="containsText" dxfId="268" priority="6" operator="containsText" text="Retrasado">
      <formula>NOT(ISERROR(SEARCH("Retrasado",D15)))</formula>
    </cfRule>
  </conditionalFormatting>
  <conditionalFormatting sqref="F7:F8">
    <cfRule type="iconSet" priority="10">
      <iconSet showValue="0">
        <cfvo type="percent" val="0"/>
        <cfvo type="num" val="2"/>
        <cfvo type="num" val="3"/>
      </iconSet>
    </cfRule>
  </conditionalFormatting>
  <conditionalFormatting sqref="F12 F14">
    <cfRule type="iconSet" priority="8">
      <iconSet showValue="0">
        <cfvo type="percent" val="0"/>
        <cfvo type="num" val="2"/>
        <cfvo type="num" val="3"/>
      </iconSet>
    </cfRule>
  </conditionalFormatting>
  <conditionalFormatting sqref="G7:I8">
    <cfRule type="iconSet" priority="9">
      <iconSet showValue="0">
        <cfvo type="percent" val="0"/>
        <cfvo type="num" val="2"/>
        <cfvo type="num" val="3"/>
      </iconSet>
    </cfRule>
  </conditionalFormatting>
  <conditionalFormatting sqref="G12:I12 G14:I14">
    <cfRule type="iconSet" priority="7">
      <iconSet showValue="0">
        <cfvo type="percent" val="0"/>
        <cfvo type="num" val="2"/>
        <cfvo type="num" val="3"/>
      </iconSet>
    </cfRule>
  </conditionalFormatting>
  <conditionalFormatting sqref="K24:L24 N24:O24 Q24:R24 T24:U24">
    <cfRule type="iconSet" priority="11">
      <iconSet showValue="0">
        <cfvo type="percent" val="0"/>
        <cfvo type="num" val="2"/>
        <cfvo type="num" val="3"/>
      </iconSet>
    </cfRule>
  </conditionalFormatting>
  <conditionalFormatting sqref="K25:L25">
    <cfRule type="containsText" dxfId="267" priority="21" operator="containsText" text="PENDIENTE">
      <formula>NOT(ISERROR(SEARCH("PENDIENTE",K25)))</formula>
    </cfRule>
    <cfRule type="containsText" dxfId="266" priority="22" operator="containsText" text="NO VALIDADO">
      <formula>NOT(ISERROR(SEARCH("NO VALIDADO",K25)))</formula>
    </cfRule>
    <cfRule type="containsText" dxfId="265" priority="23" operator="containsText" text="VALIDADO">
      <formula>NOT(ISERROR(SEARCH("VALIDADO",K25)))</formula>
    </cfRule>
  </conditionalFormatting>
  <conditionalFormatting sqref="N25:O25">
    <cfRule type="containsText" dxfId="264" priority="18" operator="containsText" text="PENDIENTE">
      <formula>NOT(ISERROR(SEARCH("PENDIENTE",N25)))</formula>
    </cfRule>
    <cfRule type="containsText" dxfId="263" priority="19" operator="containsText" text="NO VALIDADO">
      <formula>NOT(ISERROR(SEARCH("NO VALIDADO",N25)))</formula>
    </cfRule>
    <cfRule type="containsText" dxfId="262" priority="20" operator="containsText" text="VALIDADO">
      <formula>NOT(ISERROR(SEARCH("VALIDADO",N25)))</formula>
    </cfRule>
  </conditionalFormatting>
  <conditionalFormatting sqref="Q25:R25">
    <cfRule type="containsText" dxfId="261" priority="15" operator="containsText" text="PENDIENTE">
      <formula>NOT(ISERROR(SEARCH("PENDIENTE",Q25)))</formula>
    </cfRule>
    <cfRule type="containsText" dxfId="260" priority="16" operator="containsText" text="NO VALIDADO">
      <formula>NOT(ISERROR(SEARCH("NO VALIDADO",Q25)))</formula>
    </cfRule>
    <cfRule type="containsText" dxfId="259" priority="17" operator="containsText" text="VALIDADO">
      <formula>NOT(ISERROR(SEARCH("VALIDADO",Q25)))</formula>
    </cfRule>
  </conditionalFormatting>
  <conditionalFormatting sqref="T25:U25">
    <cfRule type="containsText" dxfId="258" priority="12" operator="containsText" text="PENDIENTE">
      <formula>NOT(ISERROR(SEARCH("PENDIENTE",T25)))</formula>
    </cfRule>
    <cfRule type="containsText" dxfId="257" priority="13" operator="containsText" text="NO VALIDADO">
      <formula>NOT(ISERROR(SEARCH("NO VALIDADO",T25)))</formula>
    </cfRule>
    <cfRule type="containsText" dxfId="256" priority="14" operator="containsText" text="VALIDADO">
      <formula>NOT(ISERROR(SEARCH("VALIDADO",T25)))</formula>
    </cfRule>
  </conditionalFormatting>
  <dataValidations count="6">
    <dataValidation type="list" allowBlank="1" showInputMessage="1" showErrorMessage="1" sqref="K14:K15 O14:O15 S14:S15" xr:uid="{A43B5C1B-ECB2-4430-BCEF-0460C2237ED1}">
      <formula1>"No Iniciado, En Progreso,Finalizado"</formula1>
    </dataValidation>
    <dataValidation type="list" allowBlank="1" showInputMessage="1" showErrorMessage="1" sqref="M12 Q12 U12" xr:uid="{CA650698-1E09-4758-9F5B-E6671939E9D6}">
      <formula1>"Mayo,Junio,Julio,Agosto,Septiembre,Octubre"</formula1>
    </dataValidation>
    <dataValidation type="list" allowBlank="1" showInputMessage="1" showErrorMessage="1" sqref="AB14:AB15 R14:R15 N14:N15 V14:V15" xr:uid="{18405552-89D5-4282-9D6C-44390C791175}">
      <formula1>"No Cumple, Parcial, Cumple, Más que Cumple, Mejor Práctica"</formula1>
    </dataValidation>
    <dataValidation type="list" allowBlank="1" showInputMessage="1" showErrorMessage="1" sqref="O10" xr:uid="{1E28D423-CC31-4964-99EA-48BF74D52CE2}">
      <formula1>"Alta,Baja,No Planificado"</formula1>
    </dataValidation>
    <dataValidation type="list" allowBlank="1" showInputMessage="1" showErrorMessage="1" sqref="S10 Q10" xr:uid="{2ACF19CE-4BF0-4845-80A3-7D3D7832547B}">
      <formula1>"Junio,Julio,Agosto,Septiembre,Octubre"</formula1>
    </dataValidation>
    <dataValidation type="list" allowBlank="1" showInputMessage="1" showErrorMessage="1" sqref="D10" xr:uid="{76C2C8F2-0299-4C97-9C41-0C1BC4B82228}">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4B5ED26-729F-48EA-85CF-BC8B8CA83DEB}">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9AECB-B1D9-42A0-BEFF-8B1245FC8348}">
  <sheetPr codeName="Planilha61"/>
  <dimension ref="A1:AB51"/>
  <sheetViews>
    <sheetView showGridLines="0" zoomScale="50" zoomScaleNormal="50" workbookViewId="0">
      <pane xSplit="3" ySplit="4" topLeftCell="D17"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909</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
      </c>
      <c r="E7" s="47">
        <f>IF($D7="Não cumpre",0,IF($D7="Parcial",$E$18*0.4,IF($D7="Cumpre",$E$18*0.7,IF($D7="Mais que cumpre",$E$18*0.85,IF($D7="Melhor Prática",$E$18,0)))))</f>
        <v>0</v>
      </c>
      <c r="F7" s="48" t="str">
        <f>IF($K$24&lt;&gt;"",IF($K$24=3,3,IF($K$24=2,2,1)),"")</f>
        <v/>
      </c>
      <c r="G7" s="48" t="str">
        <f>IF($N$24&lt;&gt;"",IF($N$24=3,3,IF($N$24=2,2,1)),"")</f>
        <v/>
      </c>
      <c r="H7" s="48" t="str">
        <f>IF($Q$24&lt;&gt;"",IF($Q$24=3,3,IF($Q$24=2,2,1)),"")</f>
        <v/>
      </c>
      <c r="I7" s="48" t="str">
        <f>IF($T$24&lt;&gt;"",IF($T$24=3,3,IF($T$24=2,2,1)),"")</f>
        <v/>
      </c>
      <c r="J7" s="32"/>
      <c r="K7" s="49" t="s">
        <v>224</v>
      </c>
      <c r="L7" s="46" t="s">
        <v>225</v>
      </c>
      <c r="M7" s="267"/>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246</v>
      </c>
      <c r="E10" s="51">
        <f>IF($D10="Não cumpre",0,IF($D10="Parcial",$E$18*0.4,IF($D10="Cumpre",$E$18*0.7,IF($D10="Mais que cumpre",$E$18*0.85,IF($D10="Melhor Prática",$E$18,0)))))</f>
        <v>4.0000000000000001E-3</v>
      </c>
      <c r="F10" s="52" t="str">
        <f>IF(K20="D","D","-")</f>
        <v>-</v>
      </c>
      <c r="G10" s="52" t="str">
        <f>IF(N20="D","D","-")</f>
        <v>D</v>
      </c>
      <c r="H10" s="52" t="str">
        <f>IF(Q20="D","D","-")</f>
        <v>D</v>
      </c>
      <c r="I10" s="52" t="str">
        <f>IF(T20="D","D","-")</f>
        <v>-</v>
      </c>
      <c r="J10" s="32"/>
      <c r="K10" s="66" t="s">
        <v>230</v>
      </c>
      <c r="L10" s="50" t="s">
        <v>231</v>
      </c>
      <c r="M10" s="75">
        <v>1</v>
      </c>
      <c r="N10" s="50" t="s">
        <v>232</v>
      </c>
      <c r="O10" s="53" t="s">
        <v>374</v>
      </c>
      <c r="P10" s="50" t="s">
        <v>233</v>
      </c>
      <c r="Q10" s="92" t="s">
        <v>321</v>
      </c>
      <c r="R10" s="50" t="s">
        <v>235</v>
      </c>
      <c r="S10" s="92" t="s">
        <v>303</v>
      </c>
      <c r="T10" s="50" t="s">
        <v>237</v>
      </c>
      <c r="U10" s="53" t="s">
        <v>910</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Parcial</v>
      </c>
      <c r="E12" s="273">
        <f>IF($D12="Não cumpre",0,IF($D12="Parcial",$E$18*0.4,IF($D12="Cumpre",$E$18*0.7,IF($D12="Mais que cumpre",$E$18*0.85,IF($D12="Melhor Prática",$E$18,0)))))</f>
        <v>4.0000000000000001E-3</v>
      </c>
      <c r="F12" s="268">
        <f>IF($L$24&lt;&gt;"",IF($L$24=3,3,IF($L$24=2,2,1)),"")</f>
        <v>3</v>
      </c>
      <c r="G12" s="268" t="str">
        <f>IF($O$24&lt;&gt;"",IF($O$24=3,3,IF($O$24=2,2,1)),"")</f>
        <v/>
      </c>
      <c r="H12" s="268" t="str">
        <f>IF($R$24&lt;&gt;"",IF($R$24=3,3,IF($R$24=2,2,1)),"")</f>
        <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22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0.01</v>
      </c>
      <c r="F18" s="116"/>
      <c r="G18" s="116"/>
      <c r="H18" s="116"/>
      <c r="I18" s="116"/>
      <c r="J18" s="9"/>
      <c r="K18" s="266" t="s">
        <v>911</v>
      </c>
      <c r="L18" s="264"/>
      <c r="M18" s="265"/>
      <c r="N18" s="266" t="s">
        <v>912</v>
      </c>
      <c r="O18" s="264"/>
      <c r="P18" s="265"/>
      <c r="Q18" s="266" t="s">
        <v>913</v>
      </c>
      <c r="R18" s="264"/>
      <c r="S18" s="265"/>
      <c r="T18" s="266" t="s">
        <v>914</v>
      </c>
      <c r="U18" s="264"/>
      <c r="V18" s="265"/>
      <c r="W18" s="9"/>
      <c r="X18" s="9"/>
      <c r="Y18" s="23"/>
    </row>
    <row r="19" spans="1:25" ht="141.75" customHeight="1" outlineLevel="2" x14ac:dyDescent="0.3">
      <c r="A19" s="1"/>
      <c r="B19" s="283"/>
      <c r="C19" s="283"/>
      <c r="D19" s="42" t="s">
        <v>257</v>
      </c>
      <c r="E19" s="307" t="s">
        <v>915</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105</v>
      </c>
      <c r="F20" s="288"/>
      <c r="G20" s="288"/>
      <c r="H20" s="288"/>
      <c r="I20" s="288"/>
      <c r="J20" s="25"/>
      <c r="K20" s="266"/>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293</v>
      </c>
      <c r="L21" s="264"/>
      <c r="M21" s="265"/>
      <c r="N21" s="266" t="s">
        <v>916</v>
      </c>
      <c r="O21" s="264"/>
      <c r="P21" s="265"/>
      <c r="Q21" s="266" t="s">
        <v>906</v>
      </c>
      <c r="R21" s="264"/>
      <c r="S21" s="265"/>
      <c r="T21" s="266" t="s">
        <v>917</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c r="L24" s="40">
        <v>3</v>
      </c>
      <c r="M24" s="289"/>
      <c r="N24" s="56"/>
      <c r="O24" s="40"/>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c r="L26" s="45" t="s">
        <v>1177</v>
      </c>
      <c r="M26" s="289"/>
      <c r="N26" s="58"/>
      <c r="O26" s="45"/>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255" priority="3" operator="containsText" text="Finalizado">
      <formula>NOT(ISERROR(SEARCH("Finalizado",D15)))</formula>
    </cfRule>
    <cfRule type="containsText" dxfId="254" priority="4" operator="containsText" text="No Planificado">
      <formula>NOT(ISERROR(SEARCH("No Planificado",D15)))</formula>
    </cfRule>
    <cfRule type="containsText" dxfId="253" priority="5" operator="containsText" text="A Tiempo">
      <formula>NOT(ISERROR(SEARCH("A Tiempo",D15)))</formula>
    </cfRule>
    <cfRule type="containsText" dxfId="252" priority="6" operator="containsText" text="Retrasado">
      <formula>NOT(ISERROR(SEARCH("Retrasado",D15)))</formula>
    </cfRule>
  </conditionalFormatting>
  <conditionalFormatting sqref="F7:F8">
    <cfRule type="iconSet" priority="10">
      <iconSet showValue="0">
        <cfvo type="percent" val="0"/>
        <cfvo type="num" val="2"/>
        <cfvo type="num" val="3"/>
      </iconSet>
    </cfRule>
  </conditionalFormatting>
  <conditionalFormatting sqref="F12 F14">
    <cfRule type="iconSet" priority="8">
      <iconSet showValue="0">
        <cfvo type="percent" val="0"/>
        <cfvo type="num" val="2"/>
        <cfvo type="num" val="3"/>
      </iconSet>
    </cfRule>
  </conditionalFormatting>
  <conditionalFormatting sqref="G7:I8">
    <cfRule type="iconSet" priority="9">
      <iconSet showValue="0">
        <cfvo type="percent" val="0"/>
        <cfvo type="num" val="2"/>
        <cfvo type="num" val="3"/>
      </iconSet>
    </cfRule>
  </conditionalFormatting>
  <conditionalFormatting sqref="G12:I12 G14:I14">
    <cfRule type="iconSet" priority="7">
      <iconSet showValue="0">
        <cfvo type="percent" val="0"/>
        <cfvo type="num" val="2"/>
        <cfvo type="num" val="3"/>
      </iconSet>
    </cfRule>
  </conditionalFormatting>
  <conditionalFormatting sqref="K24:L24 N24:O24 Q24:R24 T24:U24">
    <cfRule type="iconSet" priority="11">
      <iconSet showValue="0">
        <cfvo type="percent" val="0"/>
        <cfvo type="num" val="2"/>
        <cfvo type="num" val="3"/>
      </iconSet>
    </cfRule>
  </conditionalFormatting>
  <conditionalFormatting sqref="K25:L25">
    <cfRule type="containsText" dxfId="251" priority="21" operator="containsText" text="PENDIENTE">
      <formula>NOT(ISERROR(SEARCH("PENDIENTE",K25)))</formula>
    </cfRule>
    <cfRule type="containsText" dxfId="250" priority="22" operator="containsText" text="NO VALIDADO">
      <formula>NOT(ISERROR(SEARCH("NO VALIDADO",K25)))</formula>
    </cfRule>
    <cfRule type="containsText" dxfId="249" priority="23" operator="containsText" text="VALIDADO">
      <formula>NOT(ISERROR(SEARCH("VALIDADO",K25)))</formula>
    </cfRule>
  </conditionalFormatting>
  <conditionalFormatting sqref="N25:O25">
    <cfRule type="containsText" dxfId="248" priority="18" operator="containsText" text="PENDIENTE">
      <formula>NOT(ISERROR(SEARCH("PENDIENTE",N25)))</formula>
    </cfRule>
    <cfRule type="containsText" dxfId="247" priority="19" operator="containsText" text="NO VALIDADO">
      <formula>NOT(ISERROR(SEARCH("NO VALIDADO",N25)))</formula>
    </cfRule>
    <cfRule type="containsText" dxfId="246" priority="20" operator="containsText" text="VALIDADO">
      <formula>NOT(ISERROR(SEARCH("VALIDADO",N25)))</formula>
    </cfRule>
  </conditionalFormatting>
  <conditionalFormatting sqref="Q25:R25">
    <cfRule type="containsText" dxfId="245" priority="15" operator="containsText" text="PENDIENTE">
      <formula>NOT(ISERROR(SEARCH("PENDIENTE",Q25)))</formula>
    </cfRule>
    <cfRule type="containsText" dxfId="244" priority="16" operator="containsText" text="NO VALIDADO">
      <formula>NOT(ISERROR(SEARCH("NO VALIDADO",Q25)))</formula>
    </cfRule>
    <cfRule type="containsText" dxfId="243" priority="17" operator="containsText" text="VALIDADO">
      <formula>NOT(ISERROR(SEARCH("VALIDADO",Q25)))</formula>
    </cfRule>
  </conditionalFormatting>
  <conditionalFormatting sqref="T25:U25">
    <cfRule type="containsText" dxfId="242" priority="12" operator="containsText" text="PENDIENTE">
      <formula>NOT(ISERROR(SEARCH("PENDIENTE",T25)))</formula>
    </cfRule>
    <cfRule type="containsText" dxfId="241" priority="13" operator="containsText" text="NO VALIDADO">
      <formula>NOT(ISERROR(SEARCH("NO VALIDADO",T25)))</formula>
    </cfRule>
    <cfRule type="containsText" dxfId="240" priority="14" operator="containsText" text="VALIDADO">
      <formula>NOT(ISERROR(SEARCH("VALIDADO",T25)))</formula>
    </cfRule>
  </conditionalFormatting>
  <dataValidations count="6">
    <dataValidation type="list" allowBlank="1" showInputMessage="1" showErrorMessage="1" sqref="D10" xr:uid="{8D618ABD-F7E5-4ADA-81CC-A7596EEA9B6B}">
      <formula1>"No Cumple, Parcial,Cumple,Más que Cumple,Mejor Práctica"</formula1>
    </dataValidation>
    <dataValidation type="list" allowBlank="1" showInputMessage="1" showErrorMessage="1" sqref="S10 Q10" xr:uid="{C564BF88-D5E3-4D5A-84CB-A8CED99D7866}">
      <formula1>"Junio,Julio,Agosto,Septiembre,Octubre"</formula1>
    </dataValidation>
    <dataValidation type="list" allowBlank="1" showInputMessage="1" showErrorMessage="1" sqref="O10" xr:uid="{C95D2156-7363-49CE-8E75-EBFB9039A36A}">
      <formula1>"Alta,Baja,No Planificado"</formula1>
    </dataValidation>
    <dataValidation type="list" allowBlank="1" showInputMessage="1" showErrorMessage="1" sqref="AB14:AB15 R14:R15 N14:N15 V14:V15" xr:uid="{6E1F2204-8E06-4A37-9F4F-5FCC8056B3BD}">
      <formula1>"No Cumple, Parcial, Cumple, Más que Cumple, Mejor Práctica"</formula1>
    </dataValidation>
    <dataValidation type="list" allowBlank="1" showInputMessage="1" showErrorMessage="1" sqref="M12 Q12 U12" xr:uid="{BE5A781E-9AD7-4043-BD79-FFF2BB16279C}">
      <formula1>"Mayo,Junio,Julio,Agosto,Septiembre,Octubre"</formula1>
    </dataValidation>
    <dataValidation type="list" allowBlank="1" showInputMessage="1" showErrorMessage="1" sqref="K14:K15 O14:O15 S14:S15" xr:uid="{8B652F44-6D3C-46B4-9EFC-ECDD28215E3F}">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85DC4445-35FC-438D-B0E0-070A7BA4181B}">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CBCC5-A3AE-4356-9164-8B9C84E7F925}">
  <sheetPr codeName="Planilha62"/>
  <dimension ref="A1:AB51"/>
  <sheetViews>
    <sheetView showGridLines="0" zoomScale="50" zoomScaleNormal="50" workbookViewId="0">
      <pane xSplit="3" ySplit="4" topLeftCell="D12"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918</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Cumpre</v>
      </c>
      <c r="E7" s="47">
        <f>IF($D7="Não cumpre",0,IF($D7="Parcial",$E$18*0.4,IF($D7="Cumpre",$E$18*0.7,IF($D7="Mais que cumpre",$E$18*0.85,IF($D7="Melhor Prática",$E$18,0)))))</f>
        <v>1.3999999999999999E-2</v>
      </c>
      <c r="F7" s="48">
        <f>IF($K$24&lt;&gt;"",IF($K$24=3,3,IF($K$24=2,2,1)),"")</f>
        <v>3</v>
      </c>
      <c r="G7" s="48">
        <f>IF($N$24&lt;&gt;"",IF($N$24=3,3,IF($N$24=2,2,1)),"")</f>
        <v>3</v>
      </c>
      <c r="H7" s="48" t="str">
        <f>IF($Q$24&lt;&gt;"",IF($Q$24=3,3,IF($Q$24=2,2,1)),"")</f>
        <v/>
      </c>
      <c r="I7" s="48" t="str">
        <f>IF($T$24&lt;&gt;"",IF($T$24=3,3,IF($T$24=2,2,1)),"")</f>
        <v/>
      </c>
      <c r="J7" s="32"/>
      <c r="K7" s="49" t="s">
        <v>224</v>
      </c>
      <c r="L7" s="46" t="s">
        <v>225</v>
      </c>
      <c r="M7" s="267" t="s">
        <v>919</v>
      </c>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1.3999999999999999E-2</v>
      </c>
      <c r="F10" s="52" t="str">
        <f>IF(K20="D","D","-")</f>
        <v>-</v>
      </c>
      <c r="G10" s="52" t="str">
        <f>IF(N20="D","D","-")</f>
        <v>-</v>
      </c>
      <c r="H10" s="52" t="str">
        <f>IF(Q20="D","D","-")</f>
        <v>-</v>
      </c>
      <c r="I10" s="52" t="str">
        <f>IF(T20="D","D","-")</f>
        <v>-</v>
      </c>
      <c r="J10" s="32"/>
      <c r="K10" s="66" t="s">
        <v>230</v>
      </c>
      <c r="L10" s="50" t="s">
        <v>231</v>
      </c>
      <c r="M10" s="75">
        <v>1</v>
      </c>
      <c r="N10" s="50" t="s">
        <v>232</v>
      </c>
      <c r="O10" s="53" t="s">
        <v>285</v>
      </c>
      <c r="P10" s="50" t="s">
        <v>233</v>
      </c>
      <c r="Q10" s="92" t="s">
        <v>286</v>
      </c>
      <c r="R10" s="50" t="s">
        <v>235</v>
      </c>
      <c r="S10" s="92" t="s">
        <v>286</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1.7000000000000001E-2</v>
      </c>
      <c r="F12" s="268">
        <f>IF($L$24&lt;&gt;"",IF($L$24=3,3,IF($L$24=2,2,1)),"")</f>
        <v>3</v>
      </c>
      <c r="G12" s="268">
        <f>IF($O$24&lt;&gt;"",IF($O$24=3,3,IF($O$24=2,2,1)),"")</f>
        <v>3</v>
      </c>
      <c r="H12" s="268">
        <f>IF($R$24&lt;&gt;"",IF($R$24=3,3,IF($R$24=2,2,1)),"")</f>
        <v>3</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249</v>
      </c>
      <c r="L14" s="286" t="s">
        <v>920</v>
      </c>
      <c r="M14" s="286"/>
      <c r="N14" s="265" t="s">
        <v>422</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Finalizado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t="s">
        <v>250</v>
      </c>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921</v>
      </c>
      <c r="L18" s="264"/>
      <c r="M18" s="265"/>
      <c r="N18" s="266" t="s">
        <v>922</v>
      </c>
      <c r="O18" s="264"/>
      <c r="P18" s="265"/>
      <c r="Q18" s="266" t="s">
        <v>923</v>
      </c>
      <c r="R18" s="264"/>
      <c r="S18" s="265"/>
      <c r="T18" s="266" t="s">
        <v>924</v>
      </c>
      <c r="U18" s="264"/>
      <c r="V18" s="265"/>
      <c r="W18" s="9"/>
      <c r="X18" s="9"/>
      <c r="Y18" s="23"/>
    </row>
    <row r="19" spans="1:25" ht="141.75" customHeight="1" outlineLevel="2" x14ac:dyDescent="0.3">
      <c r="A19" s="1"/>
      <c r="B19" s="283"/>
      <c r="C19" s="283"/>
      <c r="D19" s="42" t="s">
        <v>257</v>
      </c>
      <c r="E19" s="307" t="s">
        <v>925</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926</v>
      </c>
      <c r="L21" s="264"/>
      <c r="M21" s="265"/>
      <c r="N21" s="266" t="s">
        <v>927</v>
      </c>
      <c r="O21" s="264"/>
      <c r="P21" s="265"/>
      <c r="Q21" s="266" t="s">
        <v>719</v>
      </c>
      <c r="R21" s="264"/>
      <c r="S21" s="265"/>
      <c r="T21" s="266" t="s">
        <v>263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c r="R24" s="40">
        <v>3</v>
      </c>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928</v>
      </c>
      <c r="L26" s="45"/>
      <c r="M26" s="289"/>
      <c r="N26" s="58" t="s">
        <v>929</v>
      </c>
      <c r="O26" s="45"/>
      <c r="P26" s="289"/>
      <c r="Q26" s="58"/>
      <c r="R26" s="45" t="s">
        <v>930</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239" priority="3" operator="containsText" text="Finalizado">
      <formula>NOT(ISERROR(SEARCH("Finalizado",D15)))</formula>
    </cfRule>
    <cfRule type="containsText" dxfId="238" priority="4" operator="containsText" text="No Planificado">
      <formula>NOT(ISERROR(SEARCH("No Planificado",D15)))</formula>
    </cfRule>
    <cfRule type="containsText" dxfId="237" priority="5" operator="containsText" text="A Tiempo">
      <formula>NOT(ISERROR(SEARCH("A Tiempo",D15)))</formula>
    </cfRule>
    <cfRule type="containsText" dxfId="236" priority="6" operator="containsText" text="Retrasado">
      <formula>NOT(ISERROR(SEARCH("Retrasado",D15)))</formula>
    </cfRule>
  </conditionalFormatting>
  <conditionalFormatting sqref="F7:F8">
    <cfRule type="iconSet" priority="10">
      <iconSet showValue="0">
        <cfvo type="percent" val="0"/>
        <cfvo type="num" val="2"/>
        <cfvo type="num" val="3"/>
      </iconSet>
    </cfRule>
  </conditionalFormatting>
  <conditionalFormatting sqref="F12 F14">
    <cfRule type="iconSet" priority="8">
      <iconSet showValue="0">
        <cfvo type="percent" val="0"/>
        <cfvo type="num" val="2"/>
        <cfvo type="num" val="3"/>
      </iconSet>
    </cfRule>
  </conditionalFormatting>
  <conditionalFormatting sqref="G7:I8">
    <cfRule type="iconSet" priority="9">
      <iconSet showValue="0">
        <cfvo type="percent" val="0"/>
        <cfvo type="num" val="2"/>
        <cfvo type="num" val="3"/>
      </iconSet>
    </cfRule>
  </conditionalFormatting>
  <conditionalFormatting sqref="G12:I12 G14:I14">
    <cfRule type="iconSet" priority="7">
      <iconSet showValue="0">
        <cfvo type="percent" val="0"/>
        <cfvo type="num" val="2"/>
        <cfvo type="num" val="3"/>
      </iconSet>
    </cfRule>
  </conditionalFormatting>
  <conditionalFormatting sqref="K24:L24 N24:O24 Q24:R24 T24:U24">
    <cfRule type="iconSet" priority="11">
      <iconSet showValue="0">
        <cfvo type="percent" val="0"/>
        <cfvo type="num" val="2"/>
        <cfvo type="num" val="3"/>
      </iconSet>
    </cfRule>
  </conditionalFormatting>
  <conditionalFormatting sqref="K25:L25">
    <cfRule type="containsText" dxfId="235" priority="21" operator="containsText" text="PENDIENTE">
      <formula>NOT(ISERROR(SEARCH("PENDIENTE",K25)))</formula>
    </cfRule>
    <cfRule type="containsText" dxfId="234" priority="22" operator="containsText" text="NO VALIDADO">
      <formula>NOT(ISERROR(SEARCH("NO VALIDADO",K25)))</formula>
    </cfRule>
    <cfRule type="containsText" dxfId="233" priority="23" operator="containsText" text="VALIDADO">
      <formula>NOT(ISERROR(SEARCH("VALIDADO",K25)))</formula>
    </cfRule>
  </conditionalFormatting>
  <conditionalFormatting sqref="N25:O25">
    <cfRule type="containsText" dxfId="232" priority="18" operator="containsText" text="PENDIENTE">
      <formula>NOT(ISERROR(SEARCH("PENDIENTE",N25)))</formula>
    </cfRule>
    <cfRule type="containsText" dxfId="231" priority="19" operator="containsText" text="NO VALIDADO">
      <formula>NOT(ISERROR(SEARCH("NO VALIDADO",N25)))</formula>
    </cfRule>
    <cfRule type="containsText" dxfId="230" priority="20" operator="containsText" text="VALIDADO">
      <formula>NOT(ISERROR(SEARCH("VALIDADO",N25)))</formula>
    </cfRule>
  </conditionalFormatting>
  <conditionalFormatting sqref="Q25:R25">
    <cfRule type="containsText" dxfId="229" priority="15" operator="containsText" text="PENDIENTE">
      <formula>NOT(ISERROR(SEARCH("PENDIENTE",Q25)))</formula>
    </cfRule>
    <cfRule type="containsText" dxfId="228" priority="16" operator="containsText" text="NO VALIDADO">
      <formula>NOT(ISERROR(SEARCH("NO VALIDADO",Q25)))</formula>
    </cfRule>
    <cfRule type="containsText" dxfId="227" priority="17" operator="containsText" text="VALIDADO">
      <formula>NOT(ISERROR(SEARCH("VALIDADO",Q25)))</formula>
    </cfRule>
  </conditionalFormatting>
  <conditionalFormatting sqref="T25:U25">
    <cfRule type="containsText" dxfId="226" priority="12" operator="containsText" text="PENDIENTE">
      <formula>NOT(ISERROR(SEARCH("PENDIENTE",T25)))</formula>
    </cfRule>
    <cfRule type="containsText" dxfId="225" priority="13" operator="containsText" text="NO VALIDADO">
      <formula>NOT(ISERROR(SEARCH("NO VALIDADO",T25)))</formula>
    </cfRule>
    <cfRule type="containsText" dxfId="224" priority="14" operator="containsText" text="VALIDADO">
      <formula>NOT(ISERROR(SEARCH("VALIDADO",T25)))</formula>
    </cfRule>
  </conditionalFormatting>
  <dataValidations disablePrompts="1" count="6">
    <dataValidation type="list" allowBlank="1" showInputMessage="1" showErrorMessage="1" sqref="K14:K15 O14:O15 S14:S15" xr:uid="{E86C8FC1-4DD6-4113-8B0B-2E4D70DA0874}">
      <formula1>"No Iniciado, En Progreso,Finalizado"</formula1>
    </dataValidation>
    <dataValidation type="list" allowBlank="1" showInputMessage="1" showErrorMessage="1" sqref="M12 Q12 U12" xr:uid="{6D4BAF63-08A0-4D4D-BD32-AA584759D2DB}">
      <formula1>"Mayo,Junio,Julio,Agosto,Septiembre,Octubre"</formula1>
    </dataValidation>
    <dataValidation type="list" allowBlank="1" showInputMessage="1" showErrorMessage="1" sqref="AB14:AB15 R14:R15 N14:N15 V14:V15" xr:uid="{BBE77247-8124-4744-825B-6176ECE1D007}">
      <formula1>"No Cumple, Parcial, Cumple, Más que Cumple, Mejor Práctica"</formula1>
    </dataValidation>
    <dataValidation type="list" allowBlank="1" showInputMessage="1" showErrorMessage="1" sqref="O10" xr:uid="{22EACFEB-6992-4D5B-ADBD-2A3F85D11D2E}">
      <formula1>"Alta,Baja,No Planificado"</formula1>
    </dataValidation>
    <dataValidation type="list" allowBlank="1" showInputMessage="1" showErrorMessage="1" sqref="S10 Q10" xr:uid="{1A126D5C-3F52-40B3-90FB-AF2BCD3D0AD9}">
      <formula1>"Junio,Julio,Agosto,Septiembre,Octubre"</formula1>
    </dataValidation>
    <dataValidation type="list" allowBlank="1" showInputMessage="1" showErrorMessage="1" sqref="D10" xr:uid="{E7FF8759-4F0E-4F19-B35F-77A596FC0598}">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F810CA6E-8E66-4384-8629-DF977A403A41}">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68665-417F-40C7-98FF-47792D69C11B}">
  <sheetPr codeName="Planilha63"/>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N24" sqref="N24"/>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931</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
      </c>
      <c r="E7" s="47">
        <f>IF($D7="Não cumpre",0,IF($D7="Parcial",$E$18*0.4,IF($D7="Cumpre",$E$18*0.7,IF($D7="Mais que cumpre",$E$18*0.85,IF($D7="Melhor Prática",$E$18,0)))))</f>
        <v>0</v>
      </c>
      <c r="F7" s="48" t="str">
        <f>IF($K$24&lt;&gt;"",IF($K$24=3,3,IF($K$24=2,2,1)),"")</f>
        <v/>
      </c>
      <c r="G7" s="48" t="str">
        <f>IF($N$24&lt;&gt;"",IF($N$24=3,3,IF($N$24=2,2,1)),"")</f>
        <v/>
      </c>
      <c r="H7" s="48" t="str">
        <f>IF($Q$24&lt;&gt;"",IF($Q$24=3,3,IF($Q$24=2,2,1)),"")</f>
        <v/>
      </c>
      <c r="I7" s="48" t="str">
        <f>IF($T$24&lt;&gt;"",IF($T$24=3,3,IF($T$24=2,2,1)),"")</f>
        <v/>
      </c>
      <c r="J7" s="32"/>
      <c r="K7" s="49" t="s">
        <v>224</v>
      </c>
      <c r="L7" s="46" t="s">
        <v>225</v>
      </c>
      <c r="M7" s="267" t="s">
        <v>932</v>
      </c>
      <c r="N7" s="267"/>
      <c r="O7" s="267"/>
      <c r="P7" s="46" t="s">
        <v>227</v>
      </c>
      <c r="Q7" s="267" t="s">
        <v>933</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1.7499999999999998E-2</v>
      </c>
      <c r="F10" s="52" t="str">
        <f>IF(K20="D","D","-")</f>
        <v>-</v>
      </c>
      <c r="G10" s="52" t="str">
        <f>IF(N20="D","D","-")</f>
        <v>D</v>
      </c>
      <c r="H10" s="52" t="str">
        <f>IF(Q20="D","D","-")</f>
        <v>D</v>
      </c>
      <c r="I10" s="52" t="str">
        <f>IF(T20="D","D","-")</f>
        <v>D</v>
      </c>
      <c r="J10" s="32"/>
      <c r="K10" s="66" t="s">
        <v>230</v>
      </c>
      <c r="L10" s="50" t="s">
        <v>231</v>
      </c>
      <c r="M10" s="75">
        <v>1</v>
      </c>
      <c r="N10" s="50" t="s">
        <v>232</v>
      </c>
      <c r="O10" s="53" t="s">
        <v>302</v>
      </c>
      <c r="P10" s="50" t="s">
        <v>233</v>
      </c>
      <c r="Q10" s="92" t="s">
        <v>321</v>
      </c>
      <c r="R10" s="50" t="s">
        <v>235</v>
      </c>
      <c r="S10" s="92" t="s">
        <v>303</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Não cumpre</v>
      </c>
      <c r="E12" s="273">
        <f>IF($D12="Não cumpre",0,IF($D12="Parcial",$E$18*0.4,IF($D12="Cumpre",$E$18*0.7,IF($D12="Mais que cumpre",$E$18*0.85,IF($D12="Melhor Prática",$E$18,0)))))</f>
        <v>0</v>
      </c>
      <c r="F12" s="268">
        <f>IF($L$24&lt;&gt;"",IF($L$24=3,3,IF($L$24=2,2,1)),"")</f>
        <v>1</v>
      </c>
      <c r="G12" s="268">
        <f>IF($O$24&lt;&gt;"",IF($O$24=3,3,IF($O$24=2,2,1)),"")</f>
        <v>1</v>
      </c>
      <c r="H12" s="268" t="str">
        <f>IF($R$24&lt;&gt;"",IF($R$24=3,3,IF($R$24=2,2,1)),"")</f>
        <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934</v>
      </c>
      <c r="M14" s="286"/>
      <c r="N14" s="265" t="s">
        <v>390</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2.5000000000000001E-2</v>
      </c>
      <c r="F18" s="116"/>
      <c r="G18" s="116"/>
      <c r="H18" s="116"/>
      <c r="I18" s="116"/>
      <c r="J18" s="9"/>
      <c r="K18" s="266" t="s">
        <v>935</v>
      </c>
      <c r="L18" s="264"/>
      <c r="M18" s="265"/>
      <c r="N18" s="266" t="s">
        <v>936</v>
      </c>
      <c r="O18" s="264"/>
      <c r="P18" s="265"/>
      <c r="Q18" s="266" t="s">
        <v>937</v>
      </c>
      <c r="R18" s="264"/>
      <c r="S18" s="265"/>
      <c r="T18" s="266" t="s">
        <v>938</v>
      </c>
      <c r="U18" s="264"/>
      <c r="V18" s="265"/>
      <c r="W18" s="9"/>
      <c r="X18" s="9"/>
      <c r="Y18" s="23"/>
    </row>
    <row r="19" spans="1:25" ht="141.75" customHeight="1" outlineLevel="2" x14ac:dyDescent="0.3">
      <c r="A19" s="1"/>
      <c r="B19" s="283"/>
      <c r="C19" s="283"/>
      <c r="D19" s="42" t="s">
        <v>257</v>
      </c>
      <c r="E19" s="307" t="s">
        <v>939</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t="s">
        <v>260</v>
      </c>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926</v>
      </c>
      <c r="L21" s="264"/>
      <c r="M21" s="265"/>
      <c r="N21" s="266" t="s">
        <v>313</v>
      </c>
      <c r="O21" s="264"/>
      <c r="P21" s="265"/>
      <c r="Q21" s="266" t="s">
        <v>940</v>
      </c>
      <c r="R21" s="264"/>
      <c r="S21" s="265"/>
      <c r="T21" s="266" t="s">
        <v>941</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c r="L24" s="40">
        <v>1</v>
      </c>
      <c r="M24" s="289"/>
      <c r="N24" s="56"/>
      <c r="O24" s="40">
        <v>1</v>
      </c>
      <c r="P24" s="289"/>
      <c r="Q24" s="56"/>
      <c r="R24" s="40"/>
      <c r="S24" s="289" t="s">
        <v>942</v>
      </c>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c r="L26" s="45" t="s">
        <v>943</v>
      </c>
      <c r="M26" s="289"/>
      <c r="N26" s="58"/>
      <c r="O26" s="45"/>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223" priority="5" operator="containsText" text="Finalizado">
      <formula>NOT(ISERROR(SEARCH("Finalizado",D15)))</formula>
    </cfRule>
    <cfRule type="containsText" dxfId="222" priority="6" operator="containsText" text="No Planificado">
      <formula>NOT(ISERROR(SEARCH("No Planificado",D15)))</formula>
    </cfRule>
    <cfRule type="containsText" dxfId="221" priority="7" operator="containsText" text="A Tiempo">
      <formula>NOT(ISERROR(SEARCH("A Tiempo",D15)))</formula>
    </cfRule>
    <cfRule type="containsText" dxfId="220" priority="8" operator="containsText" text="Retrasado">
      <formula>NOT(ISERROR(SEARCH("Retrasado",D15)))</formula>
    </cfRule>
  </conditionalFormatting>
  <conditionalFormatting sqref="F7:F8">
    <cfRule type="iconSet" priority="12">
      <iconSet showValue="0">
        <cfvo type="percent" val="0"/>
        <cfvo type="num" val="2"/>
        <cfvo type="num" val="3"/>
      </iconSet>
    </cfRule>
  </conditionalFormatting>
  <conditionalFormatting sqref="F12 F14">
    <cfRule type="iconSet" priority="10">
      <iconSet showValue="0">
        <cfvo type="percent" val="0"/>
        <cfvo type="num" val="2"/>
        <cfvo type="num" val="3"/>
      </iconSet>
    </cfRule>
  </conditionalFormatting>
  <conditionalFormatting sqref="G7:I8">
    <cfRule type="iconSet" priority="11">
      <iconSet showValue="0">
        <cfvo type="percent" val="0"/>
        <cfvo type="num" val="2"/>
        <cfvo type="num" val="3"/>
      </iconSet>
    </cfRule>
  </conditionalFormatting>
  <conditionalFormatting sqref="G12:I12 G14:I14">
    <cfRule type="iconSet" priority="9">
      <iconSet showValue="0">
        <cfvo type="percent" val="0"/>
        <cfvo type="num" val="2"/>
        <cfvo type="num" val="3"/>
      </iconSet>
    </cfRule>
  </conditionalFormatting>
  <conditionalFormatting sqref="K24">
    <cfRule type="iconSet" priority="3">
      <iconSet showValue="0">
        <cfvo type="percent" val="0"/>
        <cfvo type="num" val="2"/>
        <cfvo type="num" val="3"/>
      </iconSet>
    </cfRule>
  </conditionalFormatting>
  <conditionalFormatting sqref="K25:L25">
    <cfRule type="containsText" dxfId="219" priority="23" operator="containsText" text="PENDIENTE">
      <formula>NOT(ISERROR(SEARCH("PENDIENTE",K25)))</formula>
    </cfRule>
    <cfRule type="containsText" dxfId="218" priority="24" operator="containsText" text="NO VALIDADO">
      <formula>NOT(ISERROR(SEARCH("NO VALIDADO",K25)))</formula>
    </cfRule>
    <cfRule type="containsText" dxfId="217" priority="25" operator="containsText" text="VALIDADO">
      <formula>NOT(ISERROR(SEARCH("VALIDADO",K25)))</formula>
    </cfRule>
  </conditionalFormatting>
  <conditionalFormatting sqref="L24 O24 Q24:R24 T24:U24">
    <cfRule type="iconSet" priority="13">
      <iconSet showValue="0">
        <cfvo type="percent" val="0"/>
        <cfvo type="num" val="2"/>
        <cfvo type="num" val="3"/>
      </iconSet>
    </cfRule>
  </conditionalFormatting>
  <conditionalFormatting sqref="N24">
    <cfRule type="iconSet" priority="2">
      <iconSet showValue="0">
        <cfvo type="percent" val="0"/>
        <cfvo type="num" val="2"/>
        <cfvo type="num" val="3"/>
      </iconSet>
    </cfRule>
  </conditionalFormatting>
  <conditionalFormatting sqref="N25:O25">
    <cfRule type="containsText" dxfId="216" priority="20" operator="containsText" text="PENDIENTE">
      <formula>NOT(ISERROR(SEARCH("PENDIENTE",N25)))</formula>
    </cfRule>
    <cfRule type="containsText" dxfId="215" priority="21" operator="containsText" text="NO VALIDADO">
      <formula>NOT(ISERROR(SEARCH("NO VALIDADO",N25)))</formula>
    </cfRule>
    <cfRule type="containsText" dxfId="214" priority="22" operator="containsText" text="VALIDADO">
      <formula>NOT(ISERROR(SEARCH("VALIDADO",N25)))</formula>
    </cfRule>
  </conditionalFormatting>
  <conditionalFormatting sqref="Q25:R25">
    <cfRule type="containsText" dxfId="213" priority="17" operator="containsText" text="PENDIENTE">
      <formula>NOT(ISERROR(SEARCH("PENDIENTE",Q25)))</formula>
    </cfRule>
    <cfRule type="containsText" dxfId="212" priority="18" operator="containsText" text="NO VALIDADO">
      <formula>NOT(ISERROR(SEARCH("NO VALIDADO",Q25)))</formula>
    </cfRule>
    <cfRule type="containsText" dxfId="211" priority="19" operator="containsText" text="VALIDADO">
      <formula>NOT(ISERROR(SEARCH("VALIDADO",Q25)))</formula>
    </cfRule>
  </conditionalFormatting>
  <conditionalFormatting sqref="T25:U25">
    <cfRule type="containsText" dxfId="210" priority="14" operator="containsText" text="PENDIENTE">
      <formula>NOT(ISERROR(SEARCH("PENDIENTE",T25)))</formula>
    </cfRule>
    <cfRule type="containsText" dxfId="209" priority="15" operator="containsText" text="NO VALIDADO">
      <formula>NOT(ISERROR(SEARCH("NO VALIDADO",T25)))</formula>
    </cfRule>
    <cfRule type="containsText" dxfId="208" priority="16" operator="containsText" text="VALIDADO">
      <formula>NOT(ISERROR(SEARCH("VALIDADO",T25)))</formula>
    </cfRule>
  </conditionalFormatting>
  <dataValidations count="6">
    <dataValidation type="list" allowBlank="1" showInputMessage="1" showErrorMessage="1" sqref="D10" xr:uid="{DEF37438-00AE-40DF-A4BC-BB81171330F6}">
      <formula1>"No Cumple, Parcial,Cumple,Más que Cumple,Mejor Práctica"</formula1>
    </dataValidation>
    <dataValidation type="list" allowBlank="1" showInputMessage="1" showErrorMessage="1" sqref="S10 Q10" xr:uid="{BB90B3F1-A881-4DC8-8616-89FB4A4A8D65}">
      <formula1>"Junio,Julio,Agosto,Septiembre,Octubre"</formula1>
    </dataValidation>
    <dataValidation type="list" allowBlank="1" showInputMessage="1" showErrorMessage="1" sqref="O10" xr:uid="{D0993FF2-6F65-4B3A-9DDC-EA9CC07B0B97}">
      <formula1>"Alta,Baja,No Planificado"</formula1>
    </dataValidation>
    <dataValidation type="list" allowBlank="1" showInputMessage="1" showErrorMessage="1" sqref="AB14:AB15 R14:R15 N14:N15 V14:V15" xr:uid="{C9E72264-8F5B-4EA9-8850-497F8060556B}">
      <formula1>"No Cumple, Parcial, Cumple, Más que Cumple, Mejor Práctica"</formula1>
    </dataValidation>
    <dataValidation type="list" allowBlank="1" showInputMessage="1" showErrorMessage="1" sqref="M12 Q12 U12" xr:uid="{A252125A-70A8-4A43-8ECF-1A3357DBB63A}">
      <formula1>"Mayo,Junio,Julio,Agosto,Septiembre,Octubre"</formula1>
    </dataValidation>
    <dataValidation type="list" allowBlank="1" showInputMessage="1" showErrorMessage="1" sqref="K14:K15 O14:O15 S14:S15" xr:uid="{30FF26FC-CA6E-4633-ACC4-7B602E0CC891}">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6D5C2A2-7904-4100-A6C3-B3E36F46F217}">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517BC-1541-4B5F-AD6D-A17364C5DF4B}">
  <sheetPr codeName="Planilha64"/>
  <dimension ref="A1:AB51"/>
  <sheetViews>
    <sheetView showGridLines="0" zoomScale="50" zoomScaleNormal="50" workbookViewId="0">
      <pane xSplit="3" ySplit="4" topLeftCell="D13"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944</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Mais que cumpre</v>
      </c>
      <c r="E7" s="47">
        <f>IF($D7="Não cumpre",0,IF($D7="Parcial",$E$18*0.4,IF($D7="Cumpre",$E$18*0.7,IF($D7="Mais que cumpre",$E$18*0.85,IF($D7="Melhor Prática",$E$18,0)))))</f>
        <v>1.7000000000000001E-2</v>
      </c>
      <c r="F7" s="48">
        <f>IF($K$24&lt;&gt;"",IF($K$24=3,3,IF($K$24=2,2,1)),"")</f>
        <v>3</v>
      </c>
      <c r="G7" s="48">
        <f>IF($N$24&lt;&gt;"",IF($N$24=3,3,IF($N$24=2,2,1)),"")</f>
        <v>3</v>
      </c>
      <c r="H7" s="48">
        <f>IF($Q$24&lt;&gt;"",IF($Q$24=3,3,IF($Q$24=2,2,1)),"")</f>
        <v>3</v>
      </c>
      <c r="I7" s="48">
        <f>IF($T$24&lt;&gt;"",IF($T$24=3,3,IF($T$24=2,2,1)),"")</f>
        <v>1</v>
      </c>
      <c r="J7" s="32"/>
      <c r="K7" s="49" t="s">
        <v>224</v>
      </c>
      <c r="L7" s="46" t="s">
        <v>225</v>
      </c>
      <c r="M7" s="267" t="s">
        <v>945</v>
      </c>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1.7000000000000001E-2</v>
      </c>
      <c r="F10" s="52" t="str">
        <f>IF(K20="D","D","-")</f>
        <v>-</v>
      </c>
      <c r="G10" s="52" t="str">
        <f>IF(N20="D","D","-")</f>
        <v>-</v>
      </c>
      <c r="H10" s="52" t="str">
        <f>IF(Q20="D","D","-")</f>
        <v>-</v>
      </c>
      <c r="I10" s="52" t="str">
        <f>IF(T20="D","D","-")</f>
        <v>-</v>
      </c>
      <c r="J10" s="32"/>
      <c r="K10" s="66" t="s">
        <v>230</v>
      </c>
      <c r="L10" s="50" t="s">
        <v>231</v>
      </c>
      <c r="M10" s="75">
        <v>1</v>
      </c>
      <c r="N10" s="50" t="s">
        <v>232</v>
      </c>
      <c r="O10" s="53" t="s">
        <v>285</v>
      </c>
      <c r="P10" s="50" t="s">
        <v>233</v>
      </c>
      <c r="Q10" s="92" t="s">
        <v>286</v>
      </c>
      <c r="R10" s="50" t="s">
        <v>235</v>
      </c>
      <c r="S10" s="92" t="s">
        <v>286</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
      </c>
      <c r="E12" s="273">
        <f>IF($D12="Não cumpre",0,IF($D12="Parcial",$E$18*0.4,IF($D12="Cumpre",$E$18*0.7,IF($D12="Mais que cumpre",$E$18*0.85,IF($D12="Melhor Prática",$E$18,0)))))</f>
        <v>0</v>
      </c>
      <c r="F12" s="268" t="str">
        <f>IF($L$24&lt;&gt;"",IF($L$24=3,3,IF($L$24=2,2,1)),"")</f>
        <v/>
      </c>
      <c r="G12" s="268" t="str">
        <f>IF($O$24&lt;&gt;"",IF($O$24=3,3,IF($O$24=2,2,1)),"")</f>
        <v/>
      </c>
      <c r="H12" s="268" t="str">
        <f>IF($R$24&lt;&gt;"",IF($R$24=3,3,IF($R$24=2,2,1)),"")</f>
        <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250</v>
      </c>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946</v>
      </c>
      <c r="L18" s="264"/>
      <c r="M18" s="265"/>
      <c r="N18" s="266" t="s">
        <v>947</v>
      </c>
      <c r="O18" s="264"/>
      <c r="P18" s="265"/>
      <c r="Q18" s="266" t="s">
        <v>948</v>
      </c>
      <c r="R18" s="264"/>
      <c r="S18" s="265"/>
      <c r="T18" s="266" t="s">
        <v>949</v>
      </c>
      <c r="U18" s="264"/>
      <c r="V18" s="265"/>
      <c r="W18" s="9"/>
      <c r="X18" s="9"/>
      <c r="Y18" s="23"/>
    </row>
    <row r="19" spans="1:25" ht="141.75" customHeight="1" outlineLevel="2" x14ac:dyDescent="0.3">
      <c r="A19" s="1"/>
      <c r="B19" s="283"/>
      <c r="C19" s="283"/>
      <c r="D19" s="42" t="s">
        <v>257</v>
      </c>
      <c r="E19" s="307" t="s">
        <v>950</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752</v>
      </c>
      <c r="L21" s="264"/>
      <c r="M21" s="265"/>
      <c r="N21" s="266" t="s">
        <v>951</v>
      </c>
      <c r="O21" s="264"/>
      <c r="P21" s="265"/>
      <c r="Q21" s="266" t="s">
        <v>383</v>
      </c>
      <c r="R21" s="264"/>
      <c r="S21" s="265"/>
      <c r="T21" s="266" t="s">
        <v>383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c r="M24" s="289"/>
      <c r="N24" s="56">
        <v>3</v>
      </c>
      <c r="O24" s="40"/>
      <c r="P24" s="289"/>
      <c r="Q24" s="56">
        <v>3</v>
      </c>
      <c r="R24" s="40"/>
      <c r="S24" s="289"/>
      <c r="T24" s="56">
        <v>1</v>
      </c>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952</v>
      </c>
      <c r="L26" s="45"/>
      <c r="M26" s="289"/>
      <c r="N26" s="58" t="s">
        <v>953</v>
      </c>
      <c r="O26" s="45"/>
      <c r="P26" s="289"/>
      <c r="Q26" s="58" t="s">
        <v>954</v>
      </c>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207" priority="4" operator="containsText" text="Finalizado">
      <formula>NOT(ISERROR(SEARCH("Finalizado",D15)))</formula>
    </cfRule>
    <cfRule type="containsText" dxfId="206" priority="5" operator="containsText" text="No Planificado">
      <formula>NOT(ISERROR(SEARCH("No Planificado",D15)))</formula>
    </cfRule>
    <cfRule type="containsText" dxfId="205" priority="6" operator="containsText" text="A Tiempo">
      <formula>NOT(ISERROR(SEARCH("A Tiempo",D15)))</formula>
    </cfRule>
    <cfRule type="containsText" dxfId="204" priority="7" operator="containsText" text="Retrasado">
      <formula>NOT(ISERROR(SEARCH("Retrasado",D15)))</formula>
    </cfRule>
  </conditionalFormatting>
  <conditionalFormatting sqref="F7:F8">
    <cfRule type="iconSet" priority="11">
      <iconSet showValue="0">
        <cfvo type="percent" val="0"/>
        <cfvo type="num" val="2"/>
        <cfvo type="num" val="3"/>
      </iconSet>
    </cfRule>
  </conditionalFormatting>
  <conditionalFormatting sqref="F12 F14">
    <cfRule type="iconSet" priority="9">
      <iconSet showValue="0">
        <cfvo type="percent" val="0"/>
        <cfvo type="num" val="2"/>
        <cfvo type="num" val="3"/>
      </iconSet>
    </cfRule>
  </conditionalFormatting>
  <conditionalFormatting sqref="G7:I8">
    <cfRule type="iconSet" priority="10">
      <iconSet showValue="0">
        <cfvo type="percent" val="0"/>
        <cfvo type="num" val="2"/>
        <cfvo type="num" val="3"/>
      </iconSet>
    </cfRule>
  </conditionalFormatting>
  <conditionalFormatting sqref="G12:I12 G14:I14">
    <cfRule type="iconSet" priority="8">
      <iconSet showValue="0">
        <cfvo type="percent" val="0"/>
        <cfvo type="num" val="2"/>
        <cfvo type="num" val="3"/>
      </iconSet>
    </cfRule>
  </conditionalFormatting>
  <conditionalFormatting sqref="K24:L24 N24:O24 Q24:R24 U24">
    <cfRule type="iconSet" priority="12">
      <iconSet showValue="0">
        <cfvo type="percent" val="0"/>
        <cfvo type="num" val="2"/>
        <cfvo type="num" val="3"/>
      </iconSet>
    </cfRule>
  </conditionalFormatting>
  <conditionalFormatting sqref="K25:L25">
    <cfRule type="containsText" dxfId="203" priority="22" operator="containsText" text="PENDIENTE">
      <formula>NOT(ISERROR(SEARCH("PENDIENTE",K25)))</formula>
    </cfRule>
    <cfRule type="containsText" dxfId="202" priority="23" operator="containsText" text="NO VALIDADO">
      <formula>NOT(ISERROR(SEARCH("NO VALIDADO",K25)))</formula>
    </cfRule>
    <cfRule type="containsText" dxfId="201" priority="24" operator="containsText" text="VALIDADO">
      <formula>NOT(ISERROR(SEARCH("VALIDADO",K25)))</formula>
    </cfRule>
  </conditionalFormatting>
  <conditionalFormatting sqref="N25:O25">
    <cfRule type="containsText" dxfId="200" priority="19" operator="containsText" text="PENDIENTE">
      <formula>NOT(ISERROR(SEARCH("PENDIENTE",N25)))</formula>
    </cfRule>
    <cfRule type="containsText" dxfId="199" priority="20" operator="containsText" text="NO VALIDADO">
      <formula>NOT(ISERROR(SEARCH("NO VALIDADO",N25)))</formula>
    </cfRule>
    <cfRule type="containsText" dxfId="198" priority="21" operator="containsText" text="VALIDADO">
      <formula>NOT(ISERROR(SEARCH("VALIDADO",N25)))</formula>
    </cfRule>
  </conditionalFormatting>
  <conditionalFormatting sqref="Q25:R25">
    <cfRule type="containsText" dxfId="197" priority="16" operator="containsText" text="PENDIENTE">
      <formula>NOT(ISERROR(SEARCH("PENDIENTE",Q25)))</formula>
    </cfRule>
    <cfRule type="containsText" dxfId="196" priority="17" operator="containsText" text="NO VALIDADO">
      <formula>NOT(ISERROR(SEARCH("NO VALIDADO",Q25)))</formula>
    </cfRule>
    <cfRule type="containsText" dxfId="195" priority="18" operator="containsText" text="VALIDADO">
      <formula>NOT(ISERROR(SEARCH("VALIDADO",Q25)))</formula>
    </cfRule>
  </conditionalFormatting>
  <conditionalFormatting sqref="T24">
    <cfRule type="iconSet" priority="2">
      <iconSet showValue="0">
        <cfvo type="percent" val="0"/>
        <cfvo type="num" val="2"/>
        <cfvo type="num" val="3"/>
      </iconSet>
    </cfRule>
  </conditionalFormatting>
  <conditionalFormatting sqref="T25:U25">
    <cfRule type="containsText" dxfId="194" priority="13" operator="containsText" text="PENDIENTE">
      <formula>NOT(ISERROR(SEARCH("PENDIENTE",T25)))</formula>
    </cfRule>
    <cfRule type="containsText" dxfId="193" priority="14" operator="containsText" text="NO VALIDADO">
      <formula>NOT(ISERROR(SEARCH("NO VALIDADO",T25)))</formula>
    </cfRule>
    <cfRule type="containsText" dxfId="192" priority="15" operator="containsText" text="VALIDADO">
      <formula>NOT(ISERROR(SEARCH("VALIDADO",T25)))</formula>
    </cfRule>
  </conditionalFormatting>
  <dataValidations count="6">
    <dataValidation type="list" allowBlank="1" showInputMessage="1" showErrorMessage="1" sqref="K14:K15 O14:O15 S14:S15" xr:uid="{75EB6EE9-68EA-46EC-8125-0556ED58065C}">
      <formula1>"No Iniciado, En Progreso,Finalizado"</formula1>
    </dataValidation>
    <dataValidation type="list" allowBlank="1" showInputMessage="1" showErrorMessage="1" sqref="M12 Q12 U12" xr:uid="{284A8548-417B-4110-BE14-375C4F39375D}">
      <formula1>"Mayo,Junio,Julio,Agosto,Septiembre,Octubre"</formula1>
    </dataValidation>
    <dataValidation type="list" allowBlank="1" showInputMessage="1" showErrorMessage="1" sqref="AB14:AB15 R14:R15 N14:N15 V14:V15" xr:uid="{413659EA-0F7B-4711-8AB8-29E3BD6DF293}">
      <formula1>"No Cumple, Parcial, Cumple, Más que Cumple, Mejor Práctica"</formula1>
    </dataValidation>
    <dataValidation type="list" allowBlank="1" showInputMessage="1" showErrorMessage="1" sqref="O10" xr:uid="{95CBF76B-2937-4570-8BF7-6756FAAB552D}">
      <formula1>"Alta,Baja,No Planificado"</formula1>
    </dataValidation>
    <dataValidation type="list" allowBlank="1" showInputMessage="1" showErrorMessage="1" sqref="S10 Q10" xr:uid="{A620B9BE-9A4C-4A2F-8190-68E44806B316}">
      <formula1>"Junio,Julio,Agosto,Septiembre,Octubre"</formula1>
    </dataValidation>
    <dataValidation type="list" allowBlank="1" showInputMessage="1" showErrorMessage="1" sqref="D10" xr:uid="{08C5C661-E703-44CF-B03E-2219F9D1AF29}">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3881F44C-A3FC-4832-AA05-67A7E2520697}">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93E57-CB5B-4F90-967A-FA2E3E752673}">
  <sheetPr codeName="Planilha65"/>
  <dimension ref="A1:AB51"/>
  <sheetViews>
    <sheetView showGridLines="0" zoomScale="50" zoomScaleNormal="50" workbookViewId="0">
      <pane xSplit="3" ySplit="4" topLeftCell="H16"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t="s">
        <v>955</v>
      </c>
      <c r="U2" s="62"/>
      <c r="V2" s="62"/>
      <c r="W2" s="11"/>
      <c r="X2" s="11"/>
      <c r="Y2" s="20"/>
      <c r="Z2" s="20"/>
      <c r="AA2" s="20"/>
    </row>
    <row r="3" spans="1:28" ht="19.5" customHeight="1" x14ac:dyDescent="0.25">
      <c r="A3" s="1"/>
      <c r="C3" s="10"/>
      <c r="D3" s="276" t="s">
        <v>1</v>
      </c>
      <c r="E3" s="276"/>
      <c r="F3" s="276"/>
      <c r="G3" s="276"/>
      <c r="H3" s="276"/>
      <c r="I3" s="276"/>
      <c r="J3" s="63"/>
      <c r="K3" s="316" t="s">
        <v>956</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8.0000000000000002E-3</v>
      </c>
      <c r="F7" s="48">
        <f>IF($K$24&lt;&gt;"",IF($K$24=3,3,IF($K$24=2,2,1)),"")</f>
        <v>3</v>
      </c>
      <c r="G7" s="48">
        <f>IF($N$24&lt;&gt;"",IF($N$24=3,3,IF($N$24=2,2,1)),"")</f>
        <v>2</v>
      </c>
      <c r="H7" s="48" t="str">
        <f>IF($Q$24&lt;&gt;"",IF($Q$24=3,3,IF($Q$24=2,2,1)),"")</f>
        <v/>
      </c>
      <c r="I7" s="48" t="str">
        <f>IF($T$24&lt;&gt;"",IF($T$24=3,3,IF($T$24=2,2,1)),"")</f>
        <v/>
      </c>
      <c r="J7" s="32"/>
      <c r="K7" s="49" t="s">
        <v>224</v>
      </c>
      <c r="L7" s="46" t="s">
        <v>225</v>
      </c>
      <c r="M7" s="267" t="s">
        <v>957</v>
      </c>
      <c r="N7" s="267"/>
      <c r="O7" s="267"/>
      <c r="P7" s="46" t="s">
        <v>227</v>
      </c>
      <c r="Q7" s="267" t="s">
        <v>958</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1.7000000000000001E-2</v>
      </c>
      <c r="F10" s="52" t="str">
        <f>IF(K20="D","D","-")</f>
        <v>-</v>
      </c>
      <c r="G10" s="52" t="str">
        <f>IF(N20="D","D","-")</f>
        <v>-</v>
      </c>
      <c r="H10" s="52" t="str">
        <f>IF(Q20="D","D","-")</f>
        <v>-</v>
      </c>
      <c r="I10" s="52" t="str">
        <f>IF(T20="D","D","-")</f>
        <v>-</v>
      </c>
      <c r="J10" s="32"/>
      <c r="K10" s="66" t="s">
        <v>230</v>
      </c>
      <c r="L10" s="50" t="s">
        <v>231</v>
      </c>
      <c r="M10" s="75">
        <v>3</v>
      </c>
      <c r="N10" s="50" t="s">
        <v>232</v>
      </c>
      <c r="O10" s="53" t="s">
        <v>374</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1.7000000000000001E-2</v>
      </c>
      <c r="F12" s="268">
        <f>IF($L$24&lt;&gt;"",IF($L$24=3,3,IF($L$24=2,2,1)),"")</f>
        <v>3</v>
      </c>
      <c r="G12" s="268">
        <f>IF($O$24&lt;&gt;"",IF($O$24=3,3,IF($O$24=2,2,1)),"")</f>
        <v>3</v>
      </c>
      <c r="H12" s="268">
        <f>IF($R$24&lt;&gt;"",IF($R$24=3,3,IF($R$24=2,2,1)),"")</f>
        <v>3</v>
      </c>
      <c r="I12" s="268" t="str">
        <f>IF($U$24&lt;&gt;"",IF($U$24=3,3,IF($U$24=2,2,1)),"")</f>
        <v/>
      </c>
      <c r="J12" s="32"/>
      <c r="K12" s="300" t="s">
        <v>240</v>
      </c>
      <c r="L12" s="274"/>
      <c r="M12" s="280" t="s">
        <v>321</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305</v>
      </c>
      <c r="O14" s="266" t="s">
        <v>249</v>
      </c>
      <c r="P14" s="286" t="s">
        <v>323</v>
      </c>
      <c r="Q14" s="286"/>
      <c r="R14" s="265" t="s">
        <v>422</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Finalizado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959</v>
      </c>
      <c r="L18" s="264"/>
      <c r="M18" s="265"/>
      <c r="N18" s="266" t="s">
        <v>960</v>
      </c>
      <c r="O18" s="264"/>
      <c r="P18" s="265"/>
      <c r="Q18" s="266" t="s">
        <v>961</v>
      </c>
      <c r="R18" s="264"/>
      <c r="S18" s="265"/>
      <c r="T18" s="266" t="s">
        <v>962</v>
      </c>
      <c r="U18" s="264"/>
      <c r="V18" s="265"/>
      <c r="W18" s="9"/>
      <c r="X18" s="9"/>
      <c r="Y18" s="23"/>
    </row>
    <row r="19" spans="1:25" ht="141.75" customHeight="1" outlineLevel="2" x14ac:dyDescent="0.3">
      <c r="A19" s="1"/>
      <c r="B19" s="283"/>
      <c r="C19" s="283"/>
      <c r="D19" s="42" t="s">
        <v>257</v>
      </c>
      <c r="E19" s="307" t="s">
        <v>963</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964</v>
      </c>
      <c r="L21" s="264"/>
      <c r="M21" s="265"/>
      <c r="N21" s="266" t="s">
        <v>965</v>
      </c>
      <c r="O21" s="264"/>
      <c r="P21" s="265"/>
      <c r="Q21" s="266" t="s">
        <v>575</v>
      </c>
      <c r="R21" s="264"/>
      <c r="S21" s="265"/>
      <c r="T21" s="266" t="s">
        <v>383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2</v>
      </c>
      <c r="O24" s="40">
        <v>3</v>
      </c>
      <c r="P24" s="289"/>
      <c r="Q24" s="56"/>
      <c r="R24" s="40">
        <v>3</v>
      </c>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966</v>
      </c>
      <c r="L26" s="45"/>
      <c r="M26" s="289"/>
      <c r="N26" s="58" t="s">
        <v>967</v>
      </c>
      <c r="O26" s="45" t="s">
        <v>968</v>
      </c>
      <c r="P26" s="289"/>
      <c r="Q26" s="58"/>
      <c r="R26" s="45" t="s">
        <v>969</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191" priority="4" operator="containsText" text="Finalizado">
      <formula>NOT(ISERROR(SEARCH("Finalizado",D15)))</formula>
    </cfRule>
    <cfRule type="containsText" dxfId="190" priority="5" operator="containsText" text="No Planificado">
      <formula>NOT(ISERROR(SEARCH("No Planificado",D15)))</formula>
    </cfRule>
    <cfRule type="containsText" dxfId="189" priority="6" operator="containsText" text="A Tiempo">
      <formula>NOT(ISERROR(SEARCH("A Tiempo",D15)))</formula>
    </cfRule>
    <cfRule type="containsText" dxfId="188" priority="7" operator="containsText" text="Retrasado">
      <formula>NOT(ISERROR(SEARCH("Retrasado",D15)))</formula>
    </cfRule>
  </conditionalFormatting>
  <conditionalFormatting sqref="F7:F8">
    <cfRule type="iconSet" priority="11">
      <iconSet showValue="0">
        <cfvo type="percent" val="0"/>
        <cfvo type="num" val="2"/>
        <cfvo type="num" val="3"/>
      </iconSet>
    </cfRule>
  </conditionalFormatting>
  <conditionalFormatting sqref="F12 F14">
    <cfRule type="iconSet" priority="9">
      <iconSet showValue="0">
        <cfvo type="percent" val="0"/>
        <cfvo type="num" val="2"/>
        <cfvo type="num" val="3"/>
      </iconSet>
    </cfRule>
  </conditionalFormatting>
  <conditionalFormatting sqref="G7:I8">
    <cfRule type="iconSet" priority="10">
      <iconSet showValue="0">
        <cfvo type="percent" val="0"/>
        <cfvo type="num" val="2"/>
        <cfvo type="num" val="3"/>
      </iconSet>
    </cfRule>
  </conditionalFormatting>
  <conditionalFormatting sqref="G12:I12 G14:I14">
    <cfRule type="iconSet" priority="8">
      <iconSet showValue="0">
        <cfvo type="percent" val="0"/>
        <cfvo type="num" val="2"/>
        <cfvo type="num" val="3"/>
      </iconSet>
    </cfRule>
  </conditionalFormatting>
  <conditionalFormatting sqref="K24">
    <cfRule type="iconSet" priority="2">
      <iconSet showValue="0">
        <cfvo type="percent" val="0"/>
        <cfvo type="num" val="2"/>
        <cfvo type="num" val="3"/>
      </iconSet>
    </cfRule>
  </conditionalFormatting>
  <conditionalFormatting sqref="K25:L25">
    <cfRule type="containsText" dxfId="187" priority="22" operator="containsText" text="PENDIENTE">
      <formula>NOT(ISERROR(SEARCH("PENDIENTE",K25)))</formula>
    </cfRule>
    <cfRule type="containsText" dxfId="186" priority="23" operator="containsText" text="NO VALIDADO">
      <formula>NOT(ISERROR(SEARCH("NO VALIDADO",K25)))</formula>
    </cfRule>
    <cfRule type="containsText" dxfId="185" priority="24" operator="containsText" text="VALIDADO">
      <formula>NOT(ISERROR(SEARCH("VALIDADO",K25)))</formula>
    </cfRule>
  </conditionalFormatting>
  <conditionalFormatting sqref="L24 N24:O24 Q24:R24 T24:U24">
    <cfRule type="iconSet" priority="12">
      <iconSet showValue="0">
        <cfvo type="percent" val="0"/>
        <cfvo type="num" val="2"/>
        <cfvo type="num" val="3"/>
      </iconSet>
    </cfRule>
  </conditionalFormatting>
  <conditionalFormatting sqref="N25:O25">
    <cfRule type="containsText" dxfId="184" priority="19" operator="containsText" text="PENDIENTE">
      <formula>NOT(ISERROR(SEARCH("PENDIENTE",N25)))</formula>
    </cfRule>
    <cfRule type="containsText" dxfId="183" priority="20" operator="containsText" text="NO VALIDADO">
      <formula>NOT(ISERROR(SEARCH("NO VALIDADO",N25)))</formula>
    </cfRule>
    <cfRule type="containsText" dxfId="182" priority="21" operator="containsText" text="VALIDADO">
      <formula>NOT(ISERROR(SEARCH("VALIDADO",N25)))</formula>
    </cfRule>
  </conditionalFormatting>
  <conditionalFormatting sqref="Q25:R25">
    <cfRule type="containsText" dxfId="181" priority="16" operator="containsText" text="PENDIENTE">
      <formula>NOT(ISERROR(SEARCH("PENDIENTE",Q25)))</formula>
    </cfRule>
    <cfRule type="containsText" dxfId="180" priority="17" operator="containsText" text="NO VALIDADO">
      <formula>NOT(ISERROR(SEARCH("NO VALIDADO",Q25)))</formula>
    </cfRule>
    <cfRule type="containsText" dxfId="179" priority="18" operator="containsText" text="VALIDADO">
      <formula>NOT(ISERROR(SEARCH("VALIDADO",Q25)))</formula>
    </cfRule>
  </conditionalFormatting>
  <conditionalFormatting sqref="T25:U25">
    <cfRule type="containsText" dxfId="178" priority="13" operator="containsText" text="PENDIENTE">
      <formula>NOT(ISERROR(SEARCH("PENDIENTE",T25)))</formula>
    </cfRule>
    <cfRule type="containsText" dxfId="177" priority="14" operator="containsText" text="NO VALIDADO">
      <formula>NOT(ISERROR(SEARCH("NO VALIDADO",T25)))</formula>
    </cfRule>
    <cfRule type="containsText" dxfId="176" priority="15" operator="containsText" text="VALIDADO">
      <formula>NOT(ISERROR(SEARCH("VALIDADO",T25)))</formula>
    </cfRule>
  </conditionalFormatting>
  <dataValidations count="6">
    <dataValidation type="list" allowBlank="1" showInputMessage="1" showErrorMessage="1" sqref="D10" xr:uid="{E0634AE3-6261-45D1-A4EE-83E2BA50F625}">
      <formula1>"No Cumple, Parcial,Cumple,Más que Cumple,Mejor Práctica"</formula1>
    </dataValidation>
    <dataValidation type="list" allowBlank="1" showInputMessage="1" showErrorMessage="1" sqref="S10 Q10" xr:uid="{EB8D5CF2-E411-48B2-BFDF-D3F5319FC2D1}">
      <formula1>"Junio,Julio,Agosto,Septiembre,Octubre"</formula1>
    </dataValidation>
    <dataValidation type="list" allowBlank="1" showInputMessage="1" showErrorMessage="1" sqref="O10" xr:uid="{CCC5FD86-AE48-4884-91B3-14D60E4914CE}">
      <formula1>"Alta,Baja,No Planificado"</formula1>
    </dataValidation>
    <dataValidation type="list" allowBlank="1" showInputMessage="1" showErrorMessage="1" sqref="AB14:AB15 R14:R15 N14:N15 V14:V15" xr:uid="{4169FDAF-51DA-4C59-9E2C-D8D1A7593152}">
      <formula1>"No Cumple, Parcial, Cumple, Más que Cumple, Mejor Práctica"</formula1>
    </dataValidation>
    <dataValidation type="list" allowBlank="1" showInputMessage="1" showErrorMessage="1" sqref="M12 Q12 U12" xr:uid="{9014E52F-7834-4B87-96C1-F52A3F7C4130}">
      <formula1>"Mayo,Junio,Julio,Agosto,Septiembre,Octubre"</formula1>
    </dataValidation>
    <dataValidation type="list" allowBlank="1" showInputMessage="1" showErrorMessage="1" sqref="K14:K15 O14:O15 S14:S15" xr:uid="{77971F5A-797A-4503-92B0-B332B85CF000}">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830553C-EE2F-417D-A778-D609C9762A87}">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C0101-495C-486C-ACDA-8408234B3A90}">
  <sheetPr codeName="Planilha66"/>
  <dimension ref="A1:AB51"/>
  <sheetViews>
    <sheetView showGridLines="0" zoomScale="50" zoomScaleNormal="50" workbookViewId="0">
      <pane xSplit="3" ySplit="4" topLeftCell="D13"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970</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8.0000000000000002E-3</v>
      </c>
      <c r="F7" s="48">
        <f>IF($K$24&lt;&gt;"",IF($K$24=3,3,IF($K$24=2,2,1)),"")</f>
        <v>3</v>
      </c>
      <c r="G7" s="48" t="str">
        <f>IF($N$24&lt;&gt;"",IF($N$24=3,3,IF($N$24=2,2,1)),"")</f>
        <v/>
      </c>
      <c r="H7" s="48" t="str">
        <f>IF($Q$24&lt;&gt;"",IF($Q$24=3,3,IF($Q$24=2,2,1)),"")</f>
        <v/>
      </c>
      <c r="I7" s="48" t="str">
        <f>IF($T$24&lt;&gt;"",IF($T$24=3,3,IF($T$24=2,2,1)),"")</f>
        <v/>
      </c>
      <c r="J7" s="32"/>
      <c r="K7" s="49" t="s">
        <v>224</v>
      </c>
      <c r="L7" s="46" t="s">
        <v>225</v>
      </c>
      <c r="M7" s="267" t="s">
        <v>971</v>
      </c>
      <c r="N7" s="267"/>
      <c r="O7" s="267"/>
      <c r="P7" s="46" t="s">
        <v>227</v>
      </c>
      <c r="Q7" s="267" t="s">
        <v>972</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246</v>
      </c>
      <c r="E10" s="51">
        <f>IF($D10="Não cumpre",0,IF($D10="Parcial",$E$18*0.4,IF($D10="Cumpre",$E$18*0.7,IF($D10="Mais que cumpre",$E$18*0.85,IF($D10="Melhor Prática",$E$18,0)))))</f>
        <v>8.0000000000000002E-3</v>
      </c>
      <c r="F10" s="52" t="str">
        <f>IF(K20="D","D","-")</f>
        <v>-</v>
      </c>
      <c r="G10" s="52" t="str">
        <f>IF(N20="D","D","-")</f>
        <v>D</v>
      </c>
      <c r="H10" s="52" t="str">
        <f>IF(Q20="D","D","-")</f>
        <v>D</v>
      </c>
      <c r="I10" s="52" t="str">
        <f>IF(T20="D","D","-")</f>
        <v>-</v>
      </c>
      <c r="J10" s="32"/>
      <c r="K10" s="66" t="s">
        <v>230</v>
      </c>
      <c r="L10" s="50" t="s">
        <v>231</v>
      </c>
      <c r="M10" s="75">
        <v>1</v>
      </c>
      <c r="N10" s="50" t="s">
        <v>232</v>
      </c>
      <c r="O10" s="53" t="s">
        <v>285</v>
      </c>
      <c r="P10" s="50" t="s">
        <v>233</v>
      </c>
      <c r="Q10" s="92" t="s">
        <v>286</v>
      </c>
      <c r="R10" s="50" t="s">
        <v>235</v>
      </c>
      <c r="S10" s="92" t="s">
        <v>286</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
      </c>
      <c r="E12" s="273">
        <f>IF($D12="Não cumpre",0,IF($D12="Parcial",$E$18*0.4,IF($D12="Cumpre",$E$18*0.7,IF($D12="Mais que cumpre",$E$18*0.85,IF($D12="Melhor Prática",$E$18,0)))))</f>
        <v>0</v>
      </c>
      <c r="F12" s="268" t="str">
        <f>IF($L$24&lt;&gt;"",IF($L$24=3,3,IF($L$24=2,2,1)),"")</f>
        <v/>
      </c>
      <c r="G12" s="268" t="str">
        <f>IF($O$24&lt;&gt;"",IF($O$24=3,3,IF($O$24=2,2,1)),"")</f>
        <v/>
      </c>
      <c r="H12" s="268" t="str">
        <f>IF($R$24&lt;&gt;"",IF($R$24=3,3,IF($R$24=2,2,1)),"")</f>
        <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973</v>
      </c>
      <c r="L18" s="264"/>
      <c r="M18" s="265"/>
      <c r="N18" s="266" t="s">
        <v>974</v>
      </c>
      <c r="O18" s="264"/>
      <c r="P18" s="265"/>
      <c r="Q18" s="266" t="s">
        <v>975</v>
      </c>
      <c r="R18" s="264"/>
      <c r="S18" s="265"/>
      <c r="T18" s="266" t="s">
        <v>976</v>
      </c>
      <c r="U18" s="264"/>
      <c r="V18" s="265"/>
      <c r="W18" s="9"/>
      <c r="X18" s="9"/>
      <c r="Y18" s="23"/>
    </row>
    <row r="19" spans="1:25" ht="141.75" customHeight="1" outlineLevel="2" x14ac:dyDescent="0.3">
      <c r="A19" s="1"/>
      <c r="B19" s="283"/>
      <c r="C19" s="283"/>
      <c r="D19" s="42" t="s">
        <v>257</v>
      </c>
      <c r="E19" s="307" t="s">
        <v>977</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144</v>
      </c>
      <c r="F20" s="288"/>
      <c r="G20" s="288"/>
      <c r="H20" s="288"/>
      <c r="I20" s="288"/>
      <c r="J20" s="25"/>
      <c r="K20" s="266"/>
      <c r="L20" s="264"/>
      <c r="M20" s="265"/>
      <c r="N20" s="266" t="s">
        <v>260</v>
      </c>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789</v>
      </c>
      <c r="L21" s="264"/>
      <c r="M21" s="265"/>
      <c r="N21" s="266" t="s">
        <v>780</v>
      </c>
      <c r="O21" s="264"/>
      <c r="P21" s="265"/>
      <c r="Q21" s="266" t="s">
        <v>473</v>
      </c>
      <c r="R21" s="264"/>
      <c r="S21" s="265"/>
      <c r="T21" s="266" t="s">
        <v>719</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c r="M24" s="289"/>
      <c r="N24" s="56"/>
      <c r="O24" s="40"/>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978</v>
      </c>
      <c r="L26" s="45"/>
      <c r="M26" s="289"/>
      <c r="N26" s="58"/>
      <c r="O26" s="45"/>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175" priority="4" operator="containsText" text="Finalizado">
      <formula>NOT(ISERROR(SEARCH("Finalizado",D15)))</formula>
    </cfRule>
    <cfRule type="containsText" dxfId="174" priority="5" operator="containsText" text="No Planificado">
      <formula>NOT(ISERROR(SEARCH("No Planificado",D15)))</formula>
    </cfRule>
    <cfRule type="containsText" dxfId="173" priority="6" operator="containsText" text="A Tiempo">
      <formula>NOT(ISERROR(SEARCH("A Tiempo",D15)))</formula>
    </cfRule>
    <cfRule type="containsText" dxfId="172" priority="7" operator="containsText" text="Retrasado">
      <formula>NOT(ISERROR(SEARCH("Retrasado",D15)))</formula>
    </cfRule>
  </conditionalFormatting>
  <conditionalFormatting sqref="F7:F8">
    <cfRule type="iconSet" priority="11">
      <iconSet showValue="0">
        <cfvo type="percent" val="0"/>
        <cfvo type="num" val="2"/>
        <cfvo type="num" val="3"/>
      </iconSet>
    </cfRule>
  </conditionalFormatting>
  <conditionalFormatting sqref="F12 F14">
    <cfRule type="iconSet" priority="9">
      <iconSet showValue="0">
        <cfvo type="percent" val="0"/>
        <cfvo type="num" val="2"/>
        <cfvo type="num" val="3"/>
      </iconSet>
    </cfRule>
  </conditionalFormatting>
  <conditionalFormatting sqref="G7:I8">
    <cfRule type="iconSet" priority="10">
      <iconSet showValue="0">
        <cfvo type="percent" val="0"/>
        <cfvo type="num" val="2"/>
        <cfvo type="num" val="3"/>
      </iconSet>
    </cfRule>
  </conditionalFormatting>
  <conditionalFormatting sqref="G12:I12 G14:I14">
    <cfRule type="iconSet" priority="8">
      <iconSet showValue="0">
        <cfvo type="percent" val="0"/>
        <cfvo type="num" val="2"/>
        <cfvo type="num" val="3"/>
      </iconSet>
    </cfRule>
  </conditionalFormatting>
  <conditionalFormatting sqref="K24">
    <cfRule type="iconSet" priority="2">
      <iconSet showValue="0">
        <cfvo type="percent" val="0"/>
        <cfvo type="num" val="2"/>
        <cfvo type="num" val="3"/>
      </iconSet>
    </cfRule>
  </conditionalFormatting>
  <conditionalFormatting sqref="K25:L25">
    <cfRule type="containsText" dxfId="171" priority="22" operator="containsText" text="PENDIENTE">
      <formula>NOT(ISERROR(SEARCH("PENDIENTE",K25)))</formula>
    </cfRule>
    <cfRule type="containsText" dxfId="170" priority="23" operator="containsText" text="NO VALIDADO">
      <formula>NOT(ISERROR(SEARCH("NO VALIDADO",K25)))</formula>
    </cfRule>
    <cfRule type="containsText" dxfId="169" priority="24" operator="containsText" text="VALIDADO">
      <formula>NOT(ISERROR(SEARCH("VALIDADO",K25)))</formula>
    </cfRule>
  </conditionalFormatting>
  <conditionalFormatting sqref="L24 N24:O24 Q24:R24 T24:U24">
    <cfRule type="iconSet" priority="12">
      <iconSet showValue="0">
        <cfvo type="percent" val="0"/>
        <cfvo type="num" val="2"/>
        <cfvo type="num" val="3"/>
      </iconSet>
    </cfRule>
  </conditionalFormatting>
  <conditionalFormatting sqref="N25:O25">
    <cfRule type="containsText" dxfId="168" priority="19" operator="containsText" text="PENDIENTE">
      <formula>NOT(ISERROR(SEARCH("PENDIENTE",N25)))</formula>
    </cfRule>
    <cfRule type="containsText" dxfId="167" priority="20" operator="containsText" text="NO VALIDADO">
      <formula>NOT(ISERROR(SEARCH("NO VALIDADO",N25)))</formula>
    </cfRule>
    <cfRule type="containsText" dxfId="166" priority="21" operator="containsText" text="VALIDADO">
      <formula>NOT(ISERROR(SEARCH("VALIDADO",N25)))</formula>
    </cfRule>
  </conditionalFormatting>
  <conditionalFormatting sqref="Q25:R25">
    <cfRule type="containsText" dxfId="165" priority="16" operator="containsText" text="PENDIENTE">
      <formula>NOT(ISERROR(SEARCH("PENDIENTE",Q25)))</formula>
    </cfRule>
    <cfRule type="containsText" dxfId="164" priority="17" operator="containsText" text="NO VALIDADO">
      <formula>NOT(ISERROR(SEARCH("NO VALIDADO",Q25)))</formula>
    </cfRule>
    <cfRule type="containsText" dxfId="163" priority="18" operator="containsText" text="VALIDADO">
      <formula>NOT(ISERROR(SEARCH("VALIDADO",Q25)))</formula>
    </cfRule>
  </conditionalFormatting>
  <conditionalFormatting sqref="T25:U25">
    <cfRule type="containsText" dxfId="162" priority="13" operator="containsText" text="PENDIENTE">
      <formula>NOT(ISERROR(SEARCH("PENDIENTE",T25)))</formula>
    </cfRule>
    <cfRule type="containsText" dxfId="161" priority="14" operator="containsText" text="NO VALIDADO">
      <formula>NOT(ISERROR(SEARCH("NO VALIDADO",T25)))</formula>
    </cfRule>
    <cfRule type="containsText" dxfId="160" priority="15" operator="containsText" text="VALIDADO">
      <formula>NOT(ISERROR(SEARCH("VALIDADO",T25)))</formula>
    </cfRule>
  </conditionalFormatting>
  <dataValidations count="6">
    <dataValidation type="list" allowBlank="1" showInputMessage="1" showErrorMessage="1" sqref="K14:K15 O14:O15 S14:S15" xr:uid="{37AEED2E-D154-4233-AEC4-6E5C2A3BD9A3}">
      <formula1>"No Iniciado, En Progreso,Finalizado"</formula1>
    </dataValidation>
    <dataValidation type="list" allowBlank="1" showInputMessage="1" showErrorMessage="1" sqref="M12 Q12 U12" xr:uid="{D7D7D890-A9A4-4B00-BA24-D8E577431710}">
      <formula1>"Mayo,Junio,Julio,Agosto,Septiembre,Octubre"</formula1>
    </dataValidation>
    <dataValidation type="list" allowBlank="1" showInputMessage="1" showErrorMessage="1" sqref="AB14:AB15 R14:R15 N14:N15 V14:V15" xr:uid="{7728FDB9-9B7F-45B3-94E4-E754459D402D}">
      <formula1>"No Cumple, Parcial, Cumple, Más que Cumple, Mejor Práctica"</formula1>
    </dataValidation>
    <dataValidation type="list" allowBlank="1" showInputMessage="1" showErrorMessage="1" sqref="O10" xr:uid="{79A64795-4675-4031-A94D-01E6842E9F0E}">
      <formula1>"Alta,Baja,No Planificado"</formula1>
    </dataValidation>
    <dataValidation type="list" allowBlank="1" showInputMessage="1" showErrorMessage="1" sqref="S10 Q10" xr:uid="{61055191-B95A-4B8F-894F-FD9D4D1454FA}">
      <formula1>"Junio,Julio,Agosto,Septiembre,Octubre"</formula1>
    </dataValidation>
    <dataValidation type="list" allowBlank="1" showInputMessage="1" showErrorMessage="1" sqref="D10" xr:uid="{1BDB2E43-25CB-4491-B19E-6AEC0EAF0E22}">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62E83ED4-F936-43B5-A8AC-AF5A31E39234}">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EA68A-9983-4A9A-BBBC-50C4558CA174}">
  <sheetPr codeName="Planilha67"/>
  <dimension ref="A1:AB51"/>
  <sheetViews>
    <sheetView showGridLines="0" zoomScale="50" zoomScaleNormal="50" workbookViewId="0">
      <pane xSplit="3" ySplit="4" topLeftCell="D10"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979</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Mais que cumpre</v>
      </c>
      <c r="E7" s="47">
        <f>IF($D7="Não cumpre",0,IF($D7="Parcial",$E$18*0.4,IF($D7="Cumpre",$E$18*0.7,IF($D7="Mais que cumpre",$E$18*0.85,IF($D7="Melhor Prática",$E$18,0)))))</f>
        <v>1.7000000000000001E-2</v>
      </c>
      <c r="F7" s="48">
        <f>IF($K$24&lt;&gt;"",IF($K$24=3,3,IF($K$24=2,2,1)),"")</f>
        <v>3</v>
      </c>
      <c r="G7" s="48">
        <f>IF($N$24&lt;&gt;"",IF($N$24=3,3,IF($N$24=2,2,1)),"")</f>
        <v>3</v>
      </c>
      <c r="H7" s="48">
        <f>IF($Q$24&lt;&gt;"",IF($Q$24=3,3,IF($Q$24=2,2,1)),"")</f>
        <v>3</v>
      </c>
      <c r="I7" s="48">
        <f>IF($T$24&lt;&gt;"",IF($T$24=3,3,IF($T$24=2,2,1)),"")</f>
        <v>1</v>
      </c>
      <c r="J7" s="32"/>
      <c r="K7" s="49" t="s">
        <v>224</v>
      </c>
      <c r="L7" s="46" t="s">
        <v>225</v>
      </c>
      <c r="M7" s="267" t="s">
        <v>980</v>
      </c>
      <c r="N7" s="267"/>
      <c r="O7" s="267"/>
      <c r="P7" s="46" t="s">
        <v>227</v>
      </c>
      <c r="Q7" s="267" t="s">
        <v>981</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0.02</v>
      </c>
      <c r="F10" s="52" t="str">
        <f>IF(K20="D","D","-")</f>
        <v>-</v>
      </c>
      <c r="G10" s="52" t="str">
        <f>IF(N20="D","D","-")</f>
        <v>D</v>
      </c>
      <c r="H10" s="52" t="str">
        <f>IF(Q20="D","D","-")</f>
        <v>D</v>
      </c>
      <c r="I10" s="52" t="str">
        <f>IF(T20="D","D","-")</f>
        <v>D</v>
      </c>
      <c r="J10" s="32"/>
      <c r="K10" s="66" t="s">
        <v>230</v>
      </c>
      <c r="L10" s="50" t="s">
        <v>231</v>
      </c>
      <c r="M10" s="75">
        <v>3</v>
      </c>
      <c r="N10" s="50" t="s">
        <v>232</v>
      </c>
      <c r="O10" s="53" t="s">
        <v>374</v>
      </c>
      <c r="P10" s="50" t="s">
        <v>233</v>
      </c>
      <c r="Q10" s="92" t="s">
        <v>286</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0.02</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422</v>
      </c>
      <c r="O14" s="266" t="s">
        <v>247</v>
      </c>
      <c r="P14" s="286" t="s">
        <v>323</v>
      </c>
      <c r="Q14" s="286"/>
      <c r="R14" s="265" t="s">
        <v>275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982</v>
      </c>
      <c r="L18" s="264"/>
      <c r="M18" s="265"/>
      <c r="N18" s="266" t="s">
        <v>983</v>
      </c>
      <c r="O18" s="264"/>
      <c r="P18" s="265"/>
      <c r="Q18" s="266" t="s">
        <v>984</v>
      </c>
      <c r="R18" s="264"/>
      <c r="S18" s="265"/>
      <c r="T18" s="266" t="s">
        <v>985</v>
      </c>
      <c r="U18" s="264"/>
      <c r="V18" s="265"/>
      <c r="W18" s="9"/>
      <c r="X18" s="9"/>
      <c r="Y18" s="23"/>
    </row>
    <row r="19" spans="1:25" ht="141.75" customHeight="1" outlineLevel="2" x14ac:dyDescent="0.3">
      <c r="A19" s="1"/>
      <c r="B19" s="283"/>
      <c r="C19" s="283"/>
      <c r="D19" s="42" t="s">
        <v>257</v>
      </c>
      <c r="E19" s="307" t="s">
        <v>986</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144</v>
      </c>
      <c r="F20" s="288"/>
      <c r="G20" s="288"/>
      <c r="H20" s="288"/>
      <c r="I20" s="288"/>
      <c r="J20" s="25"/>
      <c r="K20" s="266"/>
      <c r="L20" s="264"/>
      <c r="M20" s="265"/>
      <c r="N20" s="266" t="s">
        <v>260</v>
      </c>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987</v>
      </c>
      <c r="L21" s="264"/>
      <c r="M21" s="265"/>
      <c r="N21" s="266" t="s">
        <v>988</v>
      </c>
      <c r="O21" s="264"/>
      <c r="P21" s="265"/>
      <c r="Q21" s="266" t="s">
        <v>625</v>
      </c>
      <c r="R21" s="264"/>
      <c r="S21" s="265"/>
      <c r="T21" s="266" t="s">
        <v>989</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3</v>
      </c>
      <c r="R24" s="40">
        <v>3</v>
      </c>
      <c r="S24" s="289"/>
      <c r="T24" s="56">
        <v>1</v>
      </c>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980</v>
      </c>
      <c r="L26" s="45"/>
      <c r="M26" s="289"/>
      <c r="N26" s="58" t="s">
        <v>990</v>
      </c>
      <c r="O26" s="45" t="s">
        <v>1182</v>
      </c>
      <c r="P26" s="289"/>
      <c r="Q26" s="58" t="s">
        <v>991</v>
      </c>
      <c r="R26" s="45" t="s">
        <v>1183</v>
      </c>
      <c r="S26" s="289"/>
      <c r="T26" s="58" t="s">
        <v>992</v>
      </c>
      <c r="U26" s="45" t="s">
        <v>1184</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159" priority="7" operator="containsText" text="Finalizado">
      <formula>NOT(ISERROR(SEARCH("Finalizado",D15)))</formula>
    </cfRule>
    <cfRule type="containsText" dxfId="158" priority="8" operator="containsText" text="No Planificado">
      <formula>NOT(ISERROR(SEARCH("No Planificado",D15)))</formula>
    </cfRule>
    <cfRule type="containsText" dxfId="157" priority="9" operator="containsText" text="A Tiempo">
      <formula>NOT(ISERROR(SEARCH("A Tiempo",D15)))</formula>
    </cfRule>
    <cfRule type="containsText" dxfId="156" priority="10" operator="containsText" text="Retrasado">
      <formula>NOT(ISERROR(SEARCH("Retrasado",D15)))</formula>
    </cfRule>
  </conditionalFormatting>
  <conditionalFormatting sqref="F7:F8">
    <cfRule type="iconSet" priority="14">
      <iconSet showValue="0">
        <cfvo type="percent" val="0"/>
        <cfvo type="num" val="2"/>
        <cfvo type="num" val="3"/>
      </iconSet>
    </cfRule>
  </conditionalFormatting>
  <conditionalFormatting sqref="F12 F14">
    <cfRule type="iconSet" priority="12">
      <iconSet showValue="0">
        <cfvo type="percent" val="0"/>
        <cfvo type="num" val="2"/>
        <cfvo type="num" val="3"/>
      </iconSet>
    </cfRule>
  </conditionalFormatting>
  <conditionalFormatting sqref="G7:I8">
    <cfRule type="iconSet" priority="13">
      <iconSet showValue="0">
        <cfvo type="percent" val="0"/>
        <cfvo type="num" val="2"/>
        <cfvo type="num" val="3"/>
      </iconSet>
    </cfRule>
  </conditionalFormatting>
  <conditionalFormatting sqref="G12:I12 G14:I14">
    <cfRule type="iconSet" priority="11">
      <iconSet showValue="0">
        <cfvo type="percent" val="0"/>
        <cfvo type="num" val="2"/>
        <cfvo type="num" val="3"/>
      </iconSet>
    </cfRule>
  </conditionalFormatting>
  <conditionalFormatting sqref="K24">
    <cfRule type="iconSet" priority="5">
      <iconSet showValue="0">
        <cfvo type="percent" val="0"/>
        <cfvo type="num" val="2"/>
        <cfvo type="num" val="3"/>
      </iconSet>
    </cfRule>
  </conditionalFormatting>
  <conditionalFormatting sqref="K25:L25">
    <cfRule type="containsText" dxfId="155" priority="25" operator="containsText" text="PENDIENTE">
      <formula>NOT(ISERROR(SEARCH("PENDIENTE",K25)))</formula>
    </cfRule>
    <cfRule type="containsText" dxfId="154" priority="26" operator="containsText" text="NO VALIDADO">
      <formula>NOT(ISERROR(SEARCH("NO VALIDADO",K25)))</formula>
    </cfRule>
    <cfRule type="containsText" dxfId="153" priority="27" operator="containsText" text="VALIDADO">
      <formula>NOT(ISERROR(SEARCH("VALIDADO",K25)))</formula>
    </cfRule>
  </conditionalFormatting>
  <conditionalFormatting sqref="L24 O24 R24 U24">
    <cfRule type="iconSet" priority="15">
      <iconSet showValue="0">
        <cfvo type="percent" val="0"/>
        <cfvo type="num" val="2"/>
        <cfvo type="num" val="3"/>
      </iconSet>
    </cfRule>
  </conditionalFormatting>
  <conditionalFormatting sqref="N24">
    <cfRule type="iconSet" priority="4">
      <iconSet showValue="0">
        <cfvo type="percent" val="0"/>
        <cfvo type="num" val="2"/>
        <cfvo type="num" val="3"/>
      </iconSet>
    </cfRule>
  </conditionalFormatting>
  <conditionalFormatting sqref="N25:O25">
    <cfRule type="containsText" dxfId="152" priority="22" operator="containsText" text="PENDIENTE">
      <formula>NOT(ISERROR(SEARCH("PENDIENTE",N25)))</formula>
    </cfRule>
    <cfRule type="containsText" dxfId="151" priority="23" operator="containsText" text="NO VALIDADO">
      <formula>NOT(ISERROR(SEARCH("NO VALIDADO",N25)))</formula>
    </cfRule>
    <cfRule type="containsText" dxfId="150" priority="24" operator="containsText" text="VALIDADO">
      <formula>NOT(ISERROR(SEARCH("VALIDADO",N25)))</formula>
    </cfRule>
  </conditionalFormatting>
  <conditionalFormatting sqref="Q24">
    <cfRule type="iconSet" priority="3">
      <iconSet showValue="0">
        <cfvo type="percent" val="0"/>
        <cfvo type="num" val="2"/>
        <cfvo type="num" val="3"/>
      </iconSet>
    </cfRule>
  </conditionalFormatting>
  <conditionalFormatting sqref="Q25:R25">
    <cfRule type="containsText" dxfId="149" priority="19" operator="containsText" text="PENDIENTE">
      <formula>NOT(ISERROR(SEARCH("PENDIENTE",Q25)))</formula>
    </cfRule>
    <cfRule type="containsText" dxfId="148" priority="20" operator="containsText" text="NO VALIDADO">
      <formula>NOT(ISERROR(SEARCH("NO VALIDADO",Q25)))</formula>
    </cfRule>
    <cfRule type="containsText" dxfId="147" priority="21" operator="containsText" text="VALIDADO">
      <formula>NOT(ISERROR(SEARCH("VALIDADO",Q25)))</formula>
    </cfRule>
  </conditionalFormatting>
  <conditionalFormatting sqref="T24">
    <cfRule type="iconSet" priority="2">
      <iconSet showValue="0">
        <cfvo type="percent" val="0"/>
        <cfvo type="num" val="2"/>
        <cfvo type="num" val="3"/>
      </iconSet>
    </cfRule>
  </conditionalFormatting>
  <conditionalFormatting sqref="T25:U25">
    <cfRule type="containsText" dxfId="146" priority="16" operator="containsText" text="PENDIENTE">
      <formula>NOT(ISERROR(SEARCH("PENDIENTE",T25)))</formula>
    </cfRule>
    <cfRule type="containsText" dxfId="145" priority="17" operator="containsText" text="NO VALIDADO">
      <formula>NOT(ISERROR(SEARCH("NO VALIDADO",T25)))</formula>
    </cfRule>
    <cfRule type="containsText" dxfId="144" priority="18" operator="containsText" text="VALIDADO">
      <formula>NOT(ISERROR(SEARCH("VALIDADO",T25)))</formula>
    </cfRule>
  </conditionalFormatting>
  <dataValidations count="6">
    <dataValidation type="list" allowBlank="1" showInputMessage="1" showErrorMessage="1" sqref="D10" xr:uid="{F6AC022E-7C6A-4D5D-955F-2D1E0CE1BD41}">
      <formula1>"No Cumple, Parcial,Cumple,Más que Cumple,Mejor Práctica"</formula1>
    </dataValidation>
    <dataValidation type="list" allowBlank="1" showInputMessage="1" showErrorMessage="1" sqref="S10 Q10" xr:uid="{9FA16CA0-E9C7-477A-87EE-50C7B0CE15BC}">
      <formula1>"Junio,Julio,Agosto,Septiembre,Octubre"</formula1>
    </dataValidation>
    <dataValidation type="list" allowBlank="1" showInputMessage="1" showErrorMessage="1" sqref="O10" xr:uid="{C82ECDCF-4F8B-4E89-B73F-987848CD9077}">
      <formula1>"Alta,Baja,No Planificado"</formula1>
    </dataValidation>
    <dataValidation type="list" allowBlank="1" showInputMessage="1" showErrorMessage="1" sqref="AB14:AB15 R14:R15 N14:N15 V14:V15" xr:uid="{70D86DDE-C18E-43C4-818D-7CE4DF8B4F7A}">
      <formula1>"No Cumple, Parcial, Cumple, Más que Cumple, Mejor Práctica"</formula1>
    </dataValidation>
    <dataValidation type="list" allowBlank="1" showInputMessage="1" showErrorMessage="1" sqref="M12 Q12 U12" xr:uid="{84A4572A-6ED4-4C70-8BBC-BC0128A99B7F}">
      <formula1>"Mayo,Junio,Julio,Agosto,Septiembre,Octubre"</formula1>
    </dataValidation>
    <dataValidation type="list" allowBlank="1" showInputMessage="1" showErrorMessage="1" sqref="K14:K15 O14:O15 S14:S15" xr:uid="{25EA7A03-1439-40DE-981A-2A657B50E714}">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0722E7AD-3801-466F-A0A8-CC4362887A17}">
            <x14:iconSet iconSet="3Stars" showValue="0">
              <x14:cfvo type="percent">
                <xm:f>0</xm:f>
              </x14:cfvo>
              <x14:cfvo type="num">
                <xm:f>2</xm:f>
              </x14:cfvo>
              <x14:cfvo type="num">
                <xm:f>3</xm:f>
              </x14:cfvo>
            </x14:iconSet>
          </x14:cfRule>
          <xm:sqref>M10</xm:sqref>
        </x14:conditionalFormatting>
      </x14:conditionalFormattings>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A1058-E41F-4A4D-A2C1-E7EAF7DCC2A1}">
  <sheetPr codeName="Planilha68"/>
  <dimension ref="A1:AB51"/>
  <sheetViews>
    <sheetView showGridLines="0" zoomScale="50" zoomScaleNormal="50" workbookViewId="0">
      <pane xSplit="3" ySplit="4" topLeftCell="G20" activePane="bottomRight" state="frozen"/>
      <selection activeCell="C16" sqref="C16"/>
      <selection pane="topRight" activeCell="C16" sqref="C16"/>
      <selection pane="bottomLeft" activeCell="C16" sqref="C16"/>
      <selection pane="bottomRight" activeCell="Q23" sqref="Q23"/>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993</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t="str">
        <f>IF($N$24&lt;&gt;"",IF($N$24=3,3,IF($N$24=2,2,1)),"")</f>
        <v/>
      </c>
      <c r="H7" s="48" t="str">
        <f>IF($Q$24&lt;&gt;"",IF($Q$24=3,3,IF($Q$24=2,2,1)),"")</f>
        <v/>
      </c>
      <c r="I7" s="48" t="str">
        <f>IF($T$24&lt;&gt;"",IF($T$24=3,3,IF($T$24=2,2,1)),"")</f>
        <v/>
      </c>
      <c r="J7" s="32"/>
      <c r="K7" s="49" t="s">
        <v>224</v>
      </c>
      <c r="L7" s="46" t="s">
        <v>225</v>
      </c>
      <c r="M7" s="267" t="s">
        <v>994</v>
      </c>
      <c r="N7" s="267"/>
      <c r="O7" s="267"/>
      <c r="P7" s="46" t="s">
        <v>227</v>
      </c>
      <c r="Q7" s="267" t="s">
        <v>995</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246</v>
      </c>
      <c r="E10" s="51">
        <f>IF($D10="Não cumpre",0,IF($D10="Parcial",$E$18*0.4,IF($D10="Cumpre",$E$18*0.7,IF($D10="Mais que cumpre",$E$18*0.85,IF($D10="Melhor Prática",$E$18,0)))))</f>
        <v>1.0000000000000002E-2</v>
      </c>
      <c r="F10" s="52" t="str">
        <f>IF(K20="D","D","-")</f>
        <v>D</v>
      </c>
      <c r="G10" s="52" t="str">
        <f>IF(N20="D","D","-")</f>
        <v>D</v>
      </c>
      <c r="H10" s="52" t="str">
        <f>IF(Q20="D","D","-")</f>
        <v>D</v>
      </c>
      <c r="I10" s="52" t="str">
        <f>IF(T20="D","D","-")</f>
        <v>D</v>
      </c>
      <c r="J10" s="32"/>
      <c r="K10" s="66" t="s">
        <v>230</v>
      </c>
      <c r="L10" s="50" t="s">
        <v>231</v>
      </c>
      <c r="M10" s="75">
        <v>3</v>
      </c>
      <c r="N10" s="50" t="s">
        <v>232</v>
      </c>
      <c r="O10" s="53" t="s">
        <v>374</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2.1250000000000002E-2</v>
      </c>
      <c r="F12" s="268">
        <f>IF($L$24&lt;&gt;"",IF($L$24=3,3,IF($L$24=2,2,1)),"")</f>
        <v>3</v>
      </c>
      <c r="G12" s="268">
        <f>IF($O$24&lt;&gt;"",IF($O$24=3,3,IF($O$24=2,2,1)),"")</f>
        <v>3</v>
      </c>
      <c r="H12" s="268">
        <f>IF($R$24&lt;&gt;"",IF($R$24=3,3,IF($R$24=2,2,1)),"")</f>
        <v>3</v>
      </c>
      <c r="I12" s="268" t="str">
        <f>IF($U$24&lt;&gt;"",IF($U$24=3,3,IF($U$24=2,2,1)),"")</f>
        <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305</v>
      </c>
      <c r="O14" s="266" t="s">
        <v>247</v>
      </c>
      <c r="P14" s="286" t="s">
        <v>996</v>
      </c>
      <c r="Q14" s="286"/>
      <c r="R14" s="265" t="s">
        <v>305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t="s">
        <v>250</v>
      </c>
      <c r="G16" s="87" t="s">
        <v>250</v>
      </c>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2.5000000000000001E-2</v>
      </c>
      <c r="F18" s="116"/>
      <c r="G18" s="116"/>
      <c r="H18" s="116"/>
      <c r="I18" s="116"/>
      <c r="J18" s="9"/>
      <c r="K18" s="266" t="s">
        <v>997</v>
      </c>
      <c r="L18" s="264"/>
      <c r="M18" s="265"/>
      <c r="N18" s="266" t="s">
        <v>998</v>
      </c>
      <c r="O18" s="264"/>
      <c r="P18" s="265"/>
      <c r="Q18" s="266" t="s">
        <v>999</v>
      </c>
      <c r="R18" s="264"/>
      <c r="S18" s="265"/>
      <c r="T18" s="266" t="s">
        <v>1000</v>
      </c>
      <c r="U18" s="264"/>
      <c r="V18" s="265"/>
      <c r="W18" s="9"/>
      <c r="X18" s="9"/>
      <c r="Y18" s="23"/>
    </row>
    <row r="19" spans="1:25" ht="141.75" customHeight="1" outlineLevel="2" x14ac:dyDescent="0.3">
      <c r="A19" s="1"/>
      <c r="B19" s="283"/>
      <c r="C19" s="283"/>
      <c r="D19" s="42" t="s">
        <v>257</v>
      </c>
      <c r="E19" s="307" t="s">
        <v>1001</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167</v>
      </c>
      <c r="F20" s="288"/>
      <c r="G20" s="288"/>
      <c r="H20" s="288"/>
      <c r="I20" s="288"/>
      <c r="J20" s="25"/>
      <c r="K20" s="266" t="s">
        <v>260</v>
      </c>
      <c r="L20" s="264"/>
      <c r="M20" s="265"/>
      <c r="N20" s="266" t="s">
        <v>260</v>
      </c>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624</v>
      </c>
      <c r="L21" s="264"/>
      <c r="M21" s="265"/>
      <c r="N21" s="266" t="s">
        <v>624</v>
      </c>
      <c r="O21" s="264"/>
      <c r="P21" s="265"/>
      <c r="Q21" s="266" t="s">
        <v>1002</v>
      </c>
      <c r="R21" s="264"/>
      <c r="S21" s="265"/>
      <c r="T21" s="266" t="s">
        <v>1003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c r="O24" s="40">
        <v>3</v>
      </c>
      <c r="P24" s="289"/>
      <c r="Q24" s="56"/>
      <c r="R24" s="40">
        <v>3</v>
      </c>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994</v>
      </c>
      <c r="L26" s="45" t="s">
        <v>1004</v>
      </c>
      <c r="M26" s="289"/>
      <c r="N26" s="58"/>
      <c r="O26" s="45" t="s">
        <v>1185</v>
      </c>
      <c r="P26" s="289"/>
      <c r="Q26" s="58"/>
      <c r="R26" s="45" t="s">
        <v>1005</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143" priority="7" operator="containsText" text="Finalizado">
      <formula>NOT(ISERROR(SEARCH("Finalizado",D15)))</formula>
    </cfRule>
    <cfRule type="containsText" dxfId="142" priority="8" operator="containsText" text="No Planificado">
      <formula>NOT(ISERROR(SEARCH("No Planificado",D15)))</formula>
    </cfRule>
    <cfRule type="containsText" dxfId="141" priority="9" operator="containsText" text="A Tiempo">
      <formula>NOT(ISERROR(SEARCH("A Tiempo",D15)))</formula>
    </cfRule>
    <cfRule type="containsText" dxfId="140" priority="10" operator="containsText" text="Retrasado">
      <formula>NOT(ISERROR(SEARCH("Retrasado",D15)))</formula>
    </cfRule>
  </conditionalFormatting>
  <conditionalFormatting sqref="F7:F8">
    <cfRule type="iconSet" priority="14">
      <iconSet showValue="0">
        <cfvo type="percent" val="0"/>
        <cfvo type="num" val="2"/>
        <cfvo type="num" val="3"/>
      </iconSet>
    </cfRule>
  </conditionalFormatting>
  <conditionalFormatting sqref="F12 F14">
    <cfRule type="iconSet" priority="12">
      <iconSet showValue="0">
        <cfvo type="percent" val="0"/>
        <cfvo type="num" val="2"/>
        <cfvo type="num" val="3"/>
      </iconSet>
    </cfRule>
  </conditionalFormatting>
  <conditionalFormatting sqref="G7:I8">
    <cfRule type="iconSet" priority="13">
      <iconSet showValue="0">
        <cfvo type="percent" val="0"/>
        <cfvo type="num" val="2"/>
        <cfvo type="num" val="3"/>
      </iconSet>
    </cfRule>
  </conditionalFormatting>
  <conditionalFormatting sqref="G12:I12 G14:I14">
    <cfRule type="iconSet" priority="11">
      <iconSet showValue="0">
        <cfvo type="percent" val="0"/>
        <cfvo type="num" val="2"/>
        <cfvo type="num" val="3"/>
      </iconSet>
    </cfRule>
  </conditionalFormatting>
  <conditionalFormatting sqref="K24">
    <cfRule type="iconSet" priority="5">
      <iconSet showValue="0">
        <cfvo type="percent" val="0"/>
        <cfvo type="num" val="2"/>
        <cfvo type="num" val="3"/>
      </iconSet>
    </cfRule>
  </conditionalFormatting>
  <conditionalFormatting sqref="K25:L25">
    <cfRule type="containsText" dxfId="139" priority="25" operator="containsText" text="PENDIENTE">
      <formula>NOT(ISERROR(SEARCH("PENDIENTE",K25)))</formula>
    </cfRule>
    <cfRule type="containsText" dxfId="138" priority="26" operator="containsText" text="NO VALIDADO">
      <formula>NOT(ISERROR(SEARCH("NO VALIDADO",K25)))</formula>
    </cfRule>
    <cfRule type="containsText" dxfId="137" priority="27" operator="containsText" text="VALIDADO">
      <formula>NOT(ISERROR(SEARCH("VALIDADO",K25)))</formula>
    </cfRule>
  </conditionalFormatting>
  <conditionalFormatting sqref="L24 N24:O24 Q24:R24 T24:U24">
    <cfRule type="iconSet" priority="15">
      <iconSet showValue="0">
        <cfvo type="percent" val="0"/>
        <cfvo type="num" val="2"/>
        <cfvo type="num" val="3"/>
      </iconSet>
    </cfRule>
  </conditionalFormatting>
  <conditionalFormatting sqref="N25:O25">
    <cfRule type="containsText" dxfId="136" priority="1" operator="containsText" text="PENDIENTE">
      <formula>NOT(ISERROR(SEARCH("PENDIENTE",N25)))</formula>
    </cfRule>
    <cfRule type="containsText" dxfId="135" priority="2" operator="containsText" text="NO VALIDADO">
      <formula>NOT(ISERROR(SEARCH("NO VALIDADO",N25)))</formula>
    </cfRule>
    <cfRule type="containsText" dxfId="134" priority="3" operator="containsText" text="VALIDADO">
      <formula>NOT(ISERROR(SEARCH("VALIDADO",N25)))</formula>
    </cfRule>
  </conditionalFormatting>
  <conditionalFormatting sqref="Q25:R25">
    <cfRule type="containsText" dxfId="133" priority="19" operator="containsText" text="PENDIENTE">
      <formula>NOT(ISERROR(SEARCH("PENDIENTE",Q25)))</formula>
    </cfRule>
    <cfRule type="containsText" dxfId="132" priority="20" operator="containsText" text="NO VALIDADO">
      <formula>NOT(ISERROR(SEARCH("NO VALIDADO",Q25)))</formula>
    </cfRule>
    <cfRule type="containsText" dxfId="131" priority="21" operator="containsText" text="VALIDADO">
      <formula>NOT(ISERROR(SEARCH("VALIDADO",Q25)))</formula>
    </cfRule>
  </conditionalFormatting>
  <conditionalFormatting sqref="T25:U25">
    <cfRule type="containsText" dxfId="130" priority="16" operator="containsText" text="PENDIENTE">
      <formula>NOT(ISERROR(SEARCH("PENDIENTE",T25)))</formula>
    </cfRule>
    <cfRule type="containsText" dxfId="129" priority="17" operator="containsText" text="NO VALIDADO">
      <formula>NOT(ISERROR(SEARCH("NO VALIDADO",T25)))</formula>
    </cfRule>
    <cfRule type="containsText" dxfId="128" priority="18" operator="containsText" text="VALIDADO">
      <formula>NOT(ISERROR(SEARCH("VALIDADO",T25)))</formula>
    </cfRule>
  </conditionalFormatting>
  <dataValidations count="6">
    <dataValidation type="list" allowBlank="1" showInputMessage="1" showErrorMessage="1" sqref="K14:K15 O14:O15 S14:S15" xr:uid="{F73EAA9F-761E-4583-B24A-36898F533452}">
      <formula1>"No Iniciado, En Progreso,Finalizado"</formula1>
    </dataValidation>
    <dataValidation type="list" allowBlank="1" showInputMessage="1" showErrorMessage="1" sqref="M12 Q12 U12" xr:uid="{2B27FA38-7B56-4AD3-B8FF-66723B10F267}">
      <formula1>"Mayo,Junio,Julio,Agosto,Septiembre,Octubre"</formula1>
    </dataValidation>
    <dataValidation type="list" allowBlank="1" showInputMessage="1" showErrorMessage="1" sqref="AB14:AB15 R14:R15 N14:N15 V14:V15" xr:uid="{E2A0234A-2932-4646-979C-70303C8EBC4F}">
      <formula1>"No Cumple, Parcial, Cumple, Más que Cumple, Mejor Práctica"</formula1>
    </dataValidation>
    <dataValidation type="list" allowBlank="1" showInputMessage="1" showErrorMessage="1" sqref="O10" xr:uid="{F2DEFB0B-4CC8-4093-953F-08657A0DA324}">
      <formula1>"Alta,Baja,No Planificado"</formula1>
    </dataValidation>
    <dataValidation type="list" allowBlank="1" showInputMessage="1" showErrorMessage="1" sqref="S10 Q10" xr:uid="{3FCDF67D-201A-47AB-9105-AE4CC5705984}">
      <formula1>"Junio,Julio,Agosto,Septiembre,Octubre"</formula1>
    </dataValidation>
    <dataValidation type="list" allowBlank="1" showInputMessage="1" showErrorMessage="1" sqref="D10" xr:uid="{C15934A9-44B2-4DC6-8C7B-9BDCD7741990}">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4" id="{0B4423F0-5D7E-4813-BD78-38AEE7A54F30}">
            <x14:iconSet iconSet="3Stars" showValue="0">
              <x14:cfvo type="percent">
                <xm:f>0</xm:f>
              </x14:cfvo>
              <x14:cfvo type="num">
                <xm:f>2</xm:f>
              </x14:cfvo>
              <x14:cfvo type="num">
                <xm:f>3</xm:f>
              </x14:cfvo>
            </x14:iconSet>
          </x14:cfRule>
          <xm:sqref>M10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47308-E3DC-4F18-8B9C-744F70989CBE}">
  <sheetPr codeName="Planilha13"/>
  <dimension ref="A1:AB50"/>
  <sheetViews>
    <sheetView showGridLines="0" zoomScale="50" zoomScaleNormal="50" workbookViewId="0">
      <pane xSplit="3" ySplit="4" topLeftCell="K19"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278" t="s">
        <v>219</v>
      </c>
      <c r="L3" s="278"/>
      <c r="M3" s="278"/>
      <c r="N3" s="278"/>
      <c r="O3" s="278"/>
      <c r="P3" s="278"/>
      <c r="Q3" s="278"/>
      <c r="R3" s="278"/>
      <c r="S3" s="278"/>
      <c r="T3" s="63"/>
      <c r="U3" s="63"/>
      <c r="V3" s="63"/>
      <c r="W3" s="10"/>
      <c r="X3" s="10"/>
      <c r="Y3" s="12"/>
      <c r="Z3" s="12"/>
      <c r="AA3" s="12"/>
    </row>
    <row r="4" spans="1:28" ht="35.25" customHeight="1" x14ac:dyDescent="0.25">
      <c r="A4" s="1"/>
      <c r="B4" s="1"/>
      <c r="C4" s="10"/>
      <c r="D4" s="277"/>
      <c r="E4" s="277"/>
      <c r="F4" s="277"/>
      <c r="G4" s="277"/>
      <c r="H4" s="277"/>
      <c r="I4" s="277"/>
      <c r="J4" s="61"/>
      <c r="K4" s="279"/>
      <c r="L4" s="279"/>
      <c r="M4" s="279"/>
      <c r="N4" s="279"/>
      <c r="O4" s="279"/>
      <c r="P4" s="279"/>
      <c r="Q4" s="279"/>
      <c r="R4" s="279"/>
      <c r="S4" s="279"/>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v>6.0000000000000001E-3</v>
      </c>
      <c r="F7" s="48">
        <f>IF($K$24&lt;&gt;"",IF($K$24=3,3,IF($K$24=2,2,1)),"")</f>
        <v>3</v>
      </c>
      <c r="G7" s="48">
        <f>IF($N$24&lt;&gt;"",IF($N$24=3,3,IF($N$24=2,2,1)),"")</f>
        <v>2</v>
      </c>
      <c r="H7" s="48">
        <f>IF($Q$24&lt;&gt;"",IF($Q$24=3,3,IF($Q$24=2,2,1)),"")</f>
        <v>3</v>
      </c>
      <c r="I7" s="48">
        <f>IF($T$24&lt;&gt;"",IF($T$24=3,3,IF($T$24=2,2,1)),"")</f>
        <v>1</v>
      </c>
      <c r="J7" s="32"/>
      <c r="K7" s="49" t="s">
        <v>224</v>
      </c>
      <c r="L7" s="46" t="s">
        <v>225</v>
      </c>
      <c r="M7" s="267" t="s">
        <v>226</v>
      </c>
      <c r="N7" s="267"/>
      <c r="O7" s="267"/>
      <c r="P7" s="46" t="s">
        <v>227</v>
      </c>
      <c r="Q7" s="267" t="s">
        <v>226</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f>IF(Q10="Junho",6,IF(Q10="Julho",7,IF(Q10="Agosto",8,IF(Q10="Setembro",9,IF(Q10="Outubro",10,"")))))</f>
        <v>8</v>
      </c>
      <c r="R9" s="35"/>
      <c r="S9" s="93">
        <f>IF(S10="Junho",6,IF(S10="Julho",7,IF(S10="Agosto",8,IF(S10="Setembro",9,IF(S10="Outubro",10,"")))))</f>
        <v>9</v>
      </c>
      <c r="T9" s="33"/>
      <c r="U9" s="33"/>
      <c r="V9" s="33"/>
      <c r="W9" s="1"/>
      <c r="X9" s="1"/>
    </row>
    <row r="10" spans="1:28" ht="59.25" customHeight="1" outlineLevel="1" x14ac:dyDescent="0.3">
      <c r="A10" s="1"/>
      <c r="B10" s="269" t="s">
        <v>228</v>
      </c>
      <c r="C10" s="269"/>
      <c r="D10" s="111" t="s">
        <v>229</v>
      </c>
      <c r="E10" s="51">
        <v>1.2999999999999999E-2</v>
      </c>
      <c r="F10" s="52" t="str">
        <f>IF(K20="D","D","-")</f>
        <v>-</v>
      </c>
      <c r="G10" s="52" t="str">
        <f>IF(N20="D","D","-")</f>
        <v>D</v>
      </c>
      <c r="H10" s="52" t="str">
        <f>IF(Q20="D","D","-")</f>
        <v>-</v>
      </c>
      <c r="I10" s="52" t="str">
        <f>IF(T20="D","D","-")</f>
        <v>D</v>
      </c>
      <c r="J10" s="32"/>
      <c r="K10" s="66" t="s">
        <v>230</v>
      </c>
      <c r="L10" s="50" t="s">
        <v>231</v>
      </c>
      <c r="M10" s="75">
        <v>3</v>
      </c>
      <c r="N10" s="50" t="s">
        <v>232</v>
      </c>
      <c r="O10" s="53"/>
      <c r="P10" s="50" t="s">
        <v>233</v>
      </c>
      <c r="Q10" s="92" t="s">
        <v>234</v>
      </c>
      <c r="R10" s="50" t="s">
        <v>235</v>
      </c>
      <c r="S10" s="92" t="s">
        <v>236</v>
      </c>
      <c r="T10" s="50" t="s">
        <v>237</v>
      </c>
      <c r="U10" s="53" t="s">
        <v>238</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v>1.2999999999999999E-2</v>
      </c>
      <c r="F12" s="268">
        <f>IF($L$24&lt;&gt;"",IF($L$24=3,3,IF($L$24=2,2,1)),"")</f>
        <v>3</v>
      </c>
      <c r="G12" s="268">
        <f>IF($O$24&lt;&gt;"",IF($O$24=3,3,IF($O$24=2,2,1)),"")</f>
        <v>3</v>
      </c>
      <c r="H12" s="268">
        <f>IF($R$24&lt;&gt;"",IF($R$24=3,3,IF($R$24=2,2,1)),"")</f>
        <v>3</v>
      </c>
      <c r="I12" s="268">
        <f>IF($U$24&lt;&gt;"",IF($U$24=3,3,IF($U$24=2,2,1)),"")</f>
        <v>1</v>
      </c>
      <c r="J12" s="32"/>
      <c r="K12" s="274" t="s">
        <v>240</v>
      </c>
      <c r="L12" s="274"/>
      <c r="M12" s="280" t="s">
        <v>234</v>
      </c>
      <c r="N12" s="280"/>
      <c r="O12" s="274" t="s">
        <v>240</v>
      </c>
      <c r="P12" s="274"/>
      <c r="Q12" s="280" t="s">
        <v>236</v>
      </c>
      <c r="R12" s="280"/>
      <c r="S12" s="274" t="s">
        <v>240</v>
      </c>
      <c r="T12" s="274"/>
      <c r="U12" s="280" t="s">
        <v>241</v>
      </c>
      <c r="V12" s="280"/>
      <c r="W12" s="9"/>
      <c r="X12" s="9"/>
      <c r="Y12" s="23"/>
      <c r="Z12" s="2"/>
      <c r="AA12" s="2"/>
      <c r="AB12" s="2"/>
    </row>
    <row r="13" spans="1:28" ht="35.25" customHeight="1" outlineLevel="1" x14ac:dyDescent="0.25">
      <c r="A13" s="1"/>
      <c r="B13" s="271"/>
      <c r="C13" s="271"/>
      <c r="D13" s="272" t="str">
        <f t="shared" ref="D13:D14" si="0">IF(F13="","",IF(AND(I13=3,H13=3,G13=3,F13=3),"MEJOR PRÁCTICA",
IF(AND(H13=3,G13=3,F13=3),"MÁS QUE CUMPLE",
IF(AND(G13=3,F13=3),"CUMPLE",
IF(F13=3,"PARCIAL","NO CUMPLE")))))</f>
        <v/>
      </c>
      <c r="E13" s="273"/>
      <c r="F13" s="268"/>
      <c r="G13" s="268"/>
      <c r="H13" s="268"/>
      <c r="I13" s="268"/>
      <c r="J13" s="32"/>
      <c r="K13" s="101" t="s">
        <v>70</v>
      </c>
      <c r="L13" s="281" t="s">
        <v>242</v>
      </c>
      <c r="M13" s="281"/>
      <c r="N13" s="101" t="s">
        <v>243</v>
      </c>
      <c r="O13" s="101" t="s">
        <v>70</v>
      </c>
      <c r="P13" s="281" t="s">
        <v>242</v>
      </c>
      <c r="Q13" s="281"/>
      <c r="R13" s="101" t="s">
        <v>243</v>
      </c>
      <c r="S13" s="101" t="s">
        <v>70</v>
      </c>
      <c r="T13" s="281" t="s">
        <v>242</v>
      </c>
      <c r="U13" s="281"/>
      <c r="V13" s="101" t="s">
        <v>243</v>
      </c>
      <c r="W13" s="1"/>
      <c r="X13" s="1"/>
      <c r="Z13" s="3"/>
      <c r="AA13" s="4"/>
      <c r="AB13" s="5"/>
    </row>
    <row r="14" spans="1:28" ht="18.75" customHeight="1" outlineLevel="1" x14ac:dyDescent="0.25">
      <c r="A14" s="1"/>
      <c r="B14" s="271"/>
      <c r="C14" s="271"/>
      <c r="D14" s="272" t="str">
        <f t="shared" si="0"/>
        <v/>
      </c>
      <c r="E14" s="273"/>
      <c r="F14" s="38"/>
      <c r="G14" s="38"/>
      <c r="H14" s="38"/>
      <c r="I14" s="38"/>
      <c r="J14" s="32"/>
      <c r="K14" s="264" t="s">
        <v>244</v>
      </c>
      <c r="L14" s="286" t="s">
        <v>245</v>
      </c>
      <c r="M14" s="286"/>
      <c r="N14" s="264" t="s">
        <v>246</v>
      </c>
      <c r="O14" s="266" t="s">
        <v>247</v>
      </c>
      <c r="P14" s="286" t="s">
        <v>245</v>
      </c>
      <c r="Q14" s="286"/>
      <c r="R14" s="265" t="s">
        <v>248</v>
      </c>
      <c r="S14" s="264" t="s">
        <v>249</v>
      </c>
      <c r="T14" s="286" t="s">
        <v>245</v>
      </c>
      <c r="U14" s="286"/>
      <c r="V14" s="264" t="s">
        <v>229</v>
      </c>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Finalizado</v>
      </c>
      <c r="E15" s="282"/>
      <c r="F15" s="282"/>
      <c r="G15" s="282"/>
      <c r="H15" s="282"/>
      <c r="I15" s="282"/>
      <c r="J15" s="26"/>
      <c r="K15" s="264"/>
      <c r="L15" s="286"/>
      <c r="M15" s="286"/>
      <c r="N15" s="264"/>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t="s">
        <v>250</v>
      </c>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85"/>
      <c r="N17" s="285" t="s">
        <v>248</v>
      </c>
      <c r="O17" s="285"/>
      <c r="P17" s="285"/>
      <c r="Q17" s="285" t="s">
        <v>229</v>
      </c>
      <c r="R17" s="285"/>
      <c r="S17" s="285"/>
      <c r="T17" s="285" t="s">
        <v>251</v>
      </c>
      <c r="U17" s="285"/>
      <c r="V17" s="290"/>
      <c r="W17" s="9"/>
      <c r="X17" s="9"/>
      <c r="Y17" s="23"/>
    </row>
    <row r="18" spans="1:25" ht="20.25" customHeight="1" outlineLevel="2" x14ac:dyDescent="0.3">
      <c r="A18" s="1"/>
      <c r="B18" s="283" t="s">
        <v>252</v>
      </c>
      <c r="C18" s="283"/>
      <c r="D18" s="42" t="s">
        <v>53</v>
      </c>
      <c r="E18" s="39">
        <v>1.4999999999999999E-2</v>
      </c>
      <c r="F18" s="41"/>
      <c r="G18" s="41"/>
      <c r="H18" s="41"/>
      <c r="I18" s="41"/>
      <c r="J18" s="9"/>
      <c r="K18" s="266" t="s">
        <v>253</v>
      </c>
      <c r="L18" s="264"/>
      <c r="M18" s="264"/>
      <c r="N18" s="264" t="s">
        <v>254</v>
      </c>
      <c r="O18" s="264"/>
      <c r="P18" s="264"/>
      <c r="Q18" s="264" t="s">
        <v>255</v>
      </c>
      <c r="R18" s="264"/>
      <c r="S18" s="264"/>
      <c r="T18" s="264" t="s">
        <v>256</v>
      </c>
      <c r="U18" s="264"/>
      <c r="V18" s="265"/>
      <c r="W18" s="9"/>
      <c r="X18" s="9"/>
      <c r="Y18" s="23"/>
    </row>
    <row r="19" spans="1:25" ht="124.5" customHeight="1" outlineLevel="2" x14ac:dyDescent="0.3">
      <c r="A19" s="1"/>
      <c r="B19" s="283"/>
      <c r="C19" s="283"/>
      <c r="D19" s="42" t="s">
        <v>257</v>
      </c>
      <c r="E19" s="264" t="s">
        <v>258</v>
      </c>
      <c r="F19" s="264"/>
      <c r="G19" s="264"/>
      <c r="H19" s="264"/>
      <c r="I19" s="264"/>
      <c r="J19" s="25"/>
      <c r="K19" s="266"/>
      <c r="L19" s="264"/>
      <c r="M19" s="264"/>
      <c r="N19" s="264"/>
      <c r="O19" s="264"/>
      <c r="P19" s="264"/>
      <c r="Q19" s="264"/>
      <c r="R19" s="264"/>
      <c r="S19" s="264"/>
      <c r="T19" s="264"/>
      <c r="U19" s="264"/>
      <c r="V19" s="265"/>
      <c r="W19" s="9"/>
      <c r="X19" s="9"/>
      <c r="Y19" s="23"/>
    </row>
    <row r="20" spans="1:25" ht="18.75" customHeight="1" outlineLevel="2" x14ac:dyDescent="0.3">
      <c r="A20" s="1"/>
      <c r="B20" s="283"/>
      <c r="C20" s="283"/>
      <c r="D20" s="287" t="s">
        <v>74</v>
      </c>
      <c r="E20" s="288" t="s">
        <v>78</v>
      </c>
      <c r="F20" s="288"/>
      <c r="G20" s="288"/>
      <c r="H20" s="288"/>
      <c r="I20" s="288"/>
      <c r="J20" s="25"/>
      <c r="K20" s="266" t="s">
        <v>259</v>
      </c>
      <c r="L20" s="264"/>
      <c r="M20" s="264"/>
      <c r="N20" s="264" t="s">
        <v>260</v>
      </c>
      <c r="O20" s="264"/>
      <c r="P20" s="264"/>
      <c r="Q20" s="264" t="s">
        <v>259</v>
      </c>
      <c r="R20" s="264"/>
      <c r="S20" s="264"/>
      <c r="T20" s="264"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261</v>
      </c>
      <c r="L21" s="264"/>
      <c r="M21" s="264"/>
      <c r="N21" s="264" t="s">
        <v>262</v>
      </c>
      <c r="O21" s="264"/>
      <c r="P21" s="264"/>
      <c r="Q21" s="264" t="s">
        <v>262</v>
      </c>
      <c r="R21" s="264"/>
      <c r="S21" s="264"/>
      <c r="T21" s="264" t="s">
        <v>263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t="s">
        <v>267</v>
      </c>
      <c r="N24" s="56">
        <v>2</v>
      </c>
      <c r="O24" s="40">
        <v>3</v>
      </c>
      <c r="P24" s="289"/>
      <c r="Q24" s="56">
        <v>3</v>
      </c>
      <c r="R24" s="40">
        <v>3</v>
      </c>
      <c r="S24" s="289"/>
      <c r="T24" s="56">
        <v>1</v>
      </c>
      <c r="U24" s="40">
        <v>1</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268</v>
      </c>
      <c r="L26" s="45" t="s">
        <v>268</v>
      </c>
      <c r="M26" s="289"/>
      <c r="N26" s="58" t="s">
        <v>268</v>
      </c>
      <c r="O26" s="45" t="s">
        <v>268</v>
      </c>
      <c r="P26" s="289" t="s">
        <v>267</v>
      </c>
      <c r="Q26" s="58" t="s">
        <v>268</v>
      </c>
      <c r="R26" s="45" t="s">
        <v>268</v>
      </c>
      <c r="S26" s="289" t="s">
        <v>267</v>
      </c>
      <c r="T26" s="58" t="s">
        <v>268</v>
      </c>
      <c r="U26" s="45" t="s">
        <v>268</v>
      </c>
      <c r="V26" s="289" t="s">
        <v>267</v>
      </c>
      <c r="X26" s="9"/>
      <c r="Y26" s="23"/>
    </row>
    <row r="27" spans="1:25" ht="18" customHeight="1" x14ac:dyDescent="0.3">
      <c r="A27" s="1"/>
      <c r="B27" s="9"/>
      <c r="C27" s="9"/>
      <c r="D27" s="9"/>
      <c r="F27" s="291"/>
      <c r="G27" s="292" t="s">
        <v>269</v>
      </c>
      <c r="H27" s="292"/>
      <c r="I27" s="292"/>
      <c r="K27" s="59"/>
      <c r="L27" s="25"/>
      <c r="M27" s="60"/>
      <c r="N27" s="59"/>
      <c r="O27" s="25"/>
      <c r="P27" s="60"/>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60"/>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60"/>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60"/>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60"/>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60"/>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60"/>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60"/>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60"/>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60"/>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60"/>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60" t="s">
        <v>270</v>
      </c>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60"/>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60"/>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60"/>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60"/>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60"/>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60"/>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60"/>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60"/>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60"/>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60"/>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sheetData>
  <mergeCells count="63">
    <mergeCell ref="F24:F49"/>
    <mergeCell ref="G24:I25"/>
    <mergeCell ref="M24:M26"/>
    <mergeCell ref="G26:I26"/>
    <mergeCell ref="G27:I49"/>
    <mergeCell ref="P24:P26"/>
    <mergeCell ref="S24:S26"/>
    <mergeCell ref="S14:S15"/>
    <mergeCell ref="T14:U15"/>
    <mergeCell ref="V14:V15"/>
    <mergeCell ref="T17:V17"/>
    <mergeCell ref="R14:R15"/>
    <mergeCell ref="V24:V26"/>
    <mergeCell ref="T20:V20"/>
    <mergeCell ref="N21:P21"/>
    <mergeCell ref="Q21:S21"/>
    <mergeCell ref="T21:V21"/>
    <mergeCell ref="N20:P20"/>
    <mergeCell ref="Q20:S20"/>
    <mergeCell ref="D15:I15"/>
    <mergeCell ref="B18:C21"/>
    <mergeCell ref="K17:M17"/>
    <mergeCell ref="N17:P17"/>
    <mergeCell ref="Q17:S17"/>
    <mergeCell ref="K14:K15"/>
    <mergeCell ref="L14:M15"/>
    <mergeCell ref="N14:N15"/>
    <mergeCell ref="O14:O15"/>
    <mergeCell ref="P14:Q15"/>
    <mergeCell ref="D20:D21"/>
    <mergeCell ref="E20:I21"/>
    <mergeCell ref="E19:I19"/>
    <mergeCell ref="K21:M21"/>
    <mergeCell ref="K20:M20"/>
    <mergeCell ref="M12:N12"/>
    <mergeCell ref="O12:P12"/>
    <mergeCell ref="S12:T12"/>
    <mergeCell ref="U12:V12"/>
    <mergeCell ref="L13:M13"/>
    <mergeCell ref="P13:Q13"/>
    <mergeCell ref="T13:U13"/>
    <mergeCell ref="Q12:R12"/>
    <mergeCell ref="D2:I2"/>
    <mergeCell ref="D3:I4"/>
    <mergeCell ref="K3:S4"/>
    <mergeCell ref="D5:I5"/>
    <mergeCell ref="K5:R5"/>
    <mergeCell ref="B7:C7"/>
    <mergeCell ref="T18:V19"/>
    <mergeCell ref="Q18:S19"/>
    <mergeCell ref="N18:P19"/>
    <mergeCell ref="K18:M19"/>
    <mergeCell ref="M7:O8"/>
    <mergeCell ref="Q7:S8"/>
    <mergeCell ref="G12:G13"/>
    <mergeCell ref="B10:C10"/>
    <mergeCell ref="B12:C15"/>
    <mergeCell ref="D12:D14"/>
    <mergeCell ref="E12:E14"/>
    <mergeCell ref="F12:F13"/>
    <mergeCell ref="H12:H13"/>
    <mergeCell ref="I12:I13"/>
    <mergeCell ref="K12:L12"/>
  </mergeCells>
  <conditionalFormatting sqref="D15:I15">
    <cfRule type="containsText" dxfId="1057" priority="1" operator="containsText" text="Finalizado">
      <formula>NOT(ISERROR(SEARCH("Finalizado",D15)))</formula>
    </cfRule>
    <cfRule type="containsText" dxfId="1056" priority="2" operator="containsText" text="No Planificado">
      <formula>NOT(ISERROR(SEARCH("No Planificado",D15)))</formula>
    </cfRule>
    <cfRule type="containsText" dxfId="1055" priority="3" operator="containsText" text="A Tiempo">
      <formula>NOT(ISERROR(SEARCH("A Tiempo",D15)))</formula>
    </cfRule>
    <cfRule type="containsText" dxfId="1054" priority="4" operator="containsText" text="Retrasado">
      <formula>NOT(ISERROR(SEARCH("Retrasado",D15)))</formula>
    </cfRule>
  </conditionalFormatting>
  <conditionalFormatting sqref="F7:F8">
    <cfRule type="iconSet" priority="26">
      <iconSet showValue="0">
        <cfvo type="percent" val="0"/>
        <cfvo type="num" val="2"/>
        <cfvo type="num" val="3"/>
      </iconSet>
    </cfRule>
  </conditionalFormatting>
  <conditionalFormatting sqref="F12 F14">
    <cfRule type="iconSet" priority="24">
      <iconSet showValue="0">
        <cfvo type="percent" val="0"/>
        <cfvo type="num" val="2"/>
        <cfvo type="num" val="3"/>
      </iconSet>
    </cfRule>
  </conditionalFormatting>
  <conditionalFormatting sqref="G7:I8">
    <cfRule type="iconSet" priority="25">
      <iconSet showValue="0">
        <cfvo type="percent" val="0"/>
        <cfvo type="num" val="2"/>
        <cfvo type="num" val="3"/>
      </iconSet>
    </cfRule>
  </conditionalFormatting>
  <conditionalFormatting sqref="G12:I12 G14:I14">
    <cfRule type="iconSet" priority="23">
      <iconSet showValue="0">
        <cfvo type="percent" val="0"/>
        <cfvo type="num" val="2"/>
        <cfvo type="num" val="3"/>
      </iconSet>
    </cfRule>
  </conditionalFormatting>
  <conditionalFormatting sqref="K24:L24 N24:O24 Q24:R24 T24:U24">
    <cfRule type="iconSet" priority="13">
      <iconSet showValue="0">
        <cfvo type="percent" val="0"/>
        <cfvo type="num" val="2"/>
        <cfvo type="num" val="3"/>
      </iconSet>
    </cfRule>
  </conditionalFormatting>
  <conditionalFormatting sqref="K25:L25">
    <cfRule type="containsText" dxfId="1053" priority="27" operator="containsText" text="PENDIENTE">
      <formula>NOT(ISERROR(SEARCH("PENDIENTE",K25)))</formula>
    </cfRule>
    <cfRule type="containsText" dxfId="1052" priority="28" operator="containsText" text="NO VALIDADO">
      <formula>NOT(ISERROR(SEARCH("NO VALIDADO",K25)))</formula>
    </cfRule>
    <cfRule type="containsText" dxfId="1051" priority="29" operator="containsText" text="VALIDADO">
      <formula>NOT(ISERROR(SEARCH("VALIDADO",K25)))</formula>
    </cfRule>
  </conditionalFormatting>
  <conditionalFormatting sqref="N25:O25">
    <cfRule type="containsText" dxfId="1050" priority="20" operator="containsText" text="PENDIENTE">
      <formula>NOT(ISERROR(SEARCH("PENDIENTE",N25)))</formula>
    </cfRule>
    <cfRule type="containsText" dxfId="1049" priority="21" operator="containsText" text="NO VALIDADO">
      <formula>NOT(ISERROR(SEARCH("NO VALIDADO",N25)))</formula>
    </cfRule>
    <cfRule type="containsText" dxfId="1048" priority="22" operator="containsText" text="VALIDADO">
      <formula>NOT(ISERROR(SEARCH("VALIDADO",N25)))</formula>
    </cfRule>
  </conditionalFormatting>
  <conditionalFormatting sqref="Q25:R25">
    <cfRule type="containsText" dxfId="1047" priority="17" operator="containsText" text="PENDIENTE">
      <formula>NOT(ISERROR(SEARCH("PENDIENTE",Q25)))</formula>
    </cfRule>
    <cfRule type="containsText" dxfId="1046" priority="18" operator="containsText" text="NO VALIDADO">
      <formula>NOT(ISERROR(SEARCH("NO VALIDADO",Q25)))</formula>
    </cfRule>
    <cfRule type="containsText" dxfId="1045" priority="19" operator="containsText" text="VALIDADO">
      <formula>NOT(ISERROR(SEARCH("VALIDADO",Q25)))</formula>
    </cfRule>
  </conditionalFormatting>
  <conditionalFormatting sqref="T25:U25">
    <cfRule type="containsText" dxfId="1044" priority="14" operator="containsText" text="PENDIENTE">
      <formula>NOT(ISERROR(SEARCH("PENDIENTE",T25)))</formula>
    </cfRule>
    <cfRule type="containsText" dxfId="1043" priority="15" operator="containsText" text="NO VALIDADO">
      <formula>NOT(ISERROR(SEARCH("NO VALIDADO",T25)))</formula>
    </cfRule>
    <cfRule type="containsText" dxfId="1042" priority="16" operator="containsText" text="VALIDADO">
      <formula>NOT(ISERROR(SEARCH("VALIDADO",T25)))</formula>
    </cfRule>
  </conditionalFormatting>
  <dataValidations count="6">
    <dataValidation type="list" allowBlank="1" showInputMessage="1" showErrorMessage="1" sqref="D10" xr:uid="{D134F78D-54B5-4AD2-B84A-B7246DE5A04A}">
      <formula1>"No Cumple, Parcial,Cumple,Más que Cumple,Mejor Práctica"</formula1>
    </dataValidation>
    <dataValidation type="list" allowBlank="1" showInputMessage="1" showErrorMessage="1" sqref="Q10 S10" xr:uid="{808B9B7E-2BCC-44A5-ABF1-033E365C28AB}">
      <formula1>"Junio,Julio,Agosto,Septiembre,Octubre"</formula1>
    </dataValidation>
    <dataValidation type="list" allowBlank="1" showInputMessage="1" showErrorMessage="1" sqref="O10" xr:uid="{9AE36717-0E5C-4F66-ADF5-DA160CD01FC5}">
      <formula1>"Alta,Baja,No Planificado"</formula1>
    </dataValidation>
    <dataValidation type="list" allowBlank="1" showInputMessage="1" showErrorMessage="1" sqref="AB14:AB15 N14 R14 V14" xr:uid="{EB943999-FE9C-4BF3-BAA0-D67FC7C3F304}">
      <formula1>"No Cumple, Parcial, Cumple, Más que Cumple, Mejor Práctica"</formula1>
    </dataValidation>
    <dataValidation type="list" allowBlank="1" showInputMessage="1" showErrorMessage="1" sqref="M12 Q12 U12" xr:uid="{A8DFF9DA-9B4D-42A1-958A-7B1F38697C03}">
      <formula1>"Mayo,Junio,Julio,Agosto,Septiembre,Octubre"</formula1>
    </dataValidation>
    <dataValidation type="list" allowBlank="1" showInputMessage="1" showErrorMessage="1" sqref="K14:K15 O14:O15 S14:S15" xr:uid="{86BF837E-CCAD-4244-876E-7C61F83E6248}">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5" id="{E8BA5F50-BE5E-46BB-BDB6-1D882A5CF193}">
            <x14:iconSet iconSet="3Stars" showValue="0">
              <x14:cfvo type="percent">
                <xm:f>0</xm:f>
              </x14:cfvo>
              <x14:cfvo type="num">
                <xm:f>2</xm:f>
              </x14:cfvo>
              <x14:cfvo type="num">
                <xm:f>3</xm:f>
              </x14:cfvo>
            </x14:iconSet>
          </x14:cfRule>
          <xm:sqref>M10</xm:sqref>
        </x14:conditionalFormatting>
      </x14:conditionalFormatting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F191-C952-475E-AE96-5C104640641A}">
  <sheetPr codeName="Planilha69"/>
  <dimension ref="A1:AB51"/>
  <sheetViews>
    <sheetView showGridLines="0" zoomScale="50" zoomScaleNormal="50" workbookViewId="0">
      <pane xSplit="3" ySplit="4" topLeftCell="D12"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1006</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Mais que cumpre</v>
      </c>
      <c r="E7" s="47">
        <f>IF($D7="Não cumpre",0,IF($D7="Parcial",$E$18*0.4,IF($D7="Cumpre",$E$18*0.7,IF($D7="Mais que cumpre",$E$18*0.85,IF($D7="Melhor Prática",$E$18,0)))))</f>
        <v>1.7000000000000001E-2</v>
      </c>
      <c r="F7" s="48">
        <f>IF($K$24&lt;&gt;"",IF($K$24=3,3,IF($K$24=2,2,1)),"")</f>
        <v>3</v>
      </c>
      <c r="G7" s="48">
        <f>IF($N$24&lt;&gt;"",IF($N$24=3,3,IF($N$24=2,2,1)),"")</f>
        <v>3</v>
      </c>
      <c r="H7" s="48">
        <f>IF($Q$24&lt;&gt;"",IF($Q$24=3,3,IF($Q$24=2,2,1)),"")</f>
        <v>3</v>
      </c>
      <c r="I7" s="48">
        <f>IF($T$24&lt;&gt;"",IF($T$24=3,3,IF($T$24=2,2,1)),"")</f>
        <v>1</v>
      </c>
      <c r="J7" s="32"/>
      <c r="K7" s="49" t="s">
        <v>224</v>
      </c>
      <c r="L7" s="46" t="s">
        <v>225</v>
      </c>
      <c r="M7" s="267" t="s">
        <v>1007</v>
      </c>
      <c r="N7" s="267"/>
      <c r="O7" s="267"/>
      <c r="P7" s="46" t="s">
        <v>227</v>
      </c>
      <c r="Q7" s="267" t="s">
        <v>1008</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1.7000000000000001E-2</v>
      </c>
      <c r="F10" s="52" t="str">
        <f>IF(K20="D","D","-")</f>
        <v>-</v>
      </c>
      <c r="G10" s="52" t="str">
        <f>IF(N20="D","D","-")</f>
        <v>D</v>
      </c>
      <c r="H10" s="52" t="str">
        <f>IF(Q20="D","D","-")</f>
        <v>D</v>
      </c>
      <c r="I10" s="52" t="str">
        <f>IF(T20="D","D","-")</f>
        <v>D</v>
      </c>
      <c r="J10" s="32"/>
      <c r="K10" s="66" t="s">
        <v>230</v>
      </c>
      <c r="L10" s="50" t="s">
        <v>231</v>
      </c>
      <c r="M10" s="75">
        <v>3</v>
      </c>
      <c r="N10" s="50" t="s">
        <v>232</v>
      </c>
      <c r="O10" s="53" t="s">
        <v>374</v>
      </c>
      <c r="P10" s="50" t="s">
        <v>233</v>
      </c>
      <c r="Q10" s="92" t="s">
        <v>286</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1.7000000000000001E-2</v>
      </c>
      <c r="F12" s="268">
        <f>IF($L$24&lt;&gt;"",IF($L$24=3,3,IF($L$24=2,2,1)),"")</f>
        <v>3</v>
      </c>
      <c r="G12" s="268">
        <f>IF($O$24&lt;&gt;"",IF($O$24=3,3,IF($O$24=2,2,1)),"")</f>
        <v>3</v>
      </c>
      <c r="H12" s="268">
        <f>IF($R$24&lt;&gt;"",IF($R$24=3,3,IF($R$24=2,2,1)),"")</f>
        <v>3</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306</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1009</v>
      </c>
      <c r="L18" s="264"/>
      <c r="M18" s="265"/>
      <c r="N18" s="266" t="s">
        <v>1010</v>
      </c>
      <c r="O18" s="264"/>
      <c r="P18" s="265"/>
      <c r="Q18" s="266" t="s">
        <v>1011</v>
      </c>
      <c r="R18" s="264"/>
      <c r="S18" s="265"/>
      <c r="T18" s="266" t="s">
        <v>1012</v>
      </c>
      <c r="U18" s="264"/>
      <c r="V18" s="265"/>
      <c r="W18" s="9"/>
      <c r="X18" s="9"/>
      <c r="Y18" s="23"/>
    </row>
    <row r="19" spans="1:25" ht="141.75" customHeight="1" outlineLevel="2" x14ac:dyDescent="0.3">
      <c r="A19" s="1"/>
      <c r="B19" s="283"/>
      <c r="C19" s="283"/>
      <c r="D19" s="42" t="s">
        <v>257</v>
      </c>
      <c r="E19" s="307" t="s">
        <v>1013</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1014</v>
      </c>
      <c r="F20" s="288"/>
      <c r="G20" s="288"/>
      <c r="H20" s="288"/>
      <c r="I20" s="288"/>
      <c r="J20" s="25"/>
      <c r="K20" s="266"/>
      <c r="L20" s="264"/>
      <c r="M20" s="265"/>
      <c r="N20" s="266" t="s">
        <v>260</v>
      </c>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551</v>
      </c>
      <c r="L21" s="264"/>
      <c r="M21" s="265"/>
      <c r="N21" s="266" t="s">
        <v>1015</v>
      </c>
      <c r="O21" s="264"/>
      <c r="P21" s="265"/>
      <c r="Q21" s="266" t="s">
        <v>625</v>
      </c>
      <c r="R21" s="264"/>
      <c r="S21" s="265"/>
      <c r="T21" s="266" t="s">
        <v>719</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3</v>
      </c>
      <c r="R24" s="40">
        <v>3</v>
      </c>
      <c r="S24" s="289"/>
      <c r="T24" s="56">
        <v>1</v>
      </c>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1007</v>
      </c>
      <c r="L26" s="45"/>
      <c r="M26" s="289"/>
      <c r="N26" s="58" t="s">
        <v>1016</v>
      </c>
      <c r="O26" s="228" t="s">
        <v>1186</v>
      </c>
      <c r="P26" s="289"/>
      <c r="Q26" s="58" t="s">
        <v>1017</v>
      </c>
      <c r="R26" s="45" t="s">
        <v>1187</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F24:F49"/>
    <mergeCell ref="G24:I25"/>
    <mergeCell ref="M24:M26"/>
    <mergeCell ref="P24:P26"/>
    <mergeCell ref="S24:S26"/>
    <mergeCell ref="V24:V26"/>
    <mergeCell ref="G26:I26"/>
    <mergeCell ref="G27:I49"/>
    <mergeCell ref="Q20:S20"/>
    <mergeCell ref="T20:V20"/>
    <mergeCell ref="K21:M21"/>
    <mergeCell ref="N21:P21"/>
    <mergeCell ref="Q21:S21"/>
    <mergeCell ref="T21:V21"/>
    <mergeCell ref="T18:V19"/>
    <mergeCell ref="E19:I19"/>
    <mergeCell ref="D20:D21"/>
    <mergeCell ref="E20:I21"/>
    <mergeCell ref="K20:M20"/>
    <mergeCell ref="N20:P20"/>
    <mergeCell ref="D15:I15"/>
    <mergeCell ref="B18:C21"/>
    <mergeCell ref="K18:M19"/>
    <mergeCell ref="N18:P19"/>
    <mergeCell ref="Q18:S19"/>
    <mergeCell ref="Q17:S17"/>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M12:N12"/>
    <mergeCell ref="O12:P12"/>
    <mergeCell ref="K17:M17"/>
    <mergeCell ref="N17:P17"/>
    <mergeCell ref="K14:K15"/>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s>
  <conditionalFormatting sqref="D15:I15">
    <cfRule type="containsText" dxfId="127" priority="7" operator="containsText" text="Finalizado">
      <formula>NOT(ISERROR(SEARCH("Finalizado",D15)))</formula>
    </cfRule>
    <cfRule type="containsText" dxfId="126" priority="8" operator="containsText" text="No Planificado">
      <formula>NOT(ISERROR(SEARCH("No Planificado",D15)))</formula>
    </cfRule>
    <cfRule type="containsText" dxfId="125" priority="9" operator="containsText" text="A Tiempo">
      <formula>NOT(ISERROR(SEARCH("A Tiempo",D15)))</formula>
    </cfRule>
    <cfRule type="containsText" dxfId="124" priority="10" operator="containsText" text="Retrasado">
      <formula>NOT(ISERROR(SEARCH("Retrasado",D15)))</formula>
    </cfRule>
  </conditionalFormatting>
  <conditionalFormatting sqref="F7:F8">
    <cfRule type="iconSet" priority="14">
      <iconSet showValue="0">
        <cfvo type="percent" val="0"/>
        <cfvo type="num" val="2"/>
        <cfvo type="num" val="3"/>
      </iconSet>
    </cfRule>
  </conditionalFormatting>
  <conditionalFormatting sqref="F12 F14">
    <cfRule type="iconSet" priority="12">
      <iconSet showValue="0">
        <cfvo type="percent" val="0"/>
        <cfvo type="num" val="2"/>
        <cfvo type="num" val="3"/>
      </iconSet>
    </cfRule>
  </conditionalFormatting>
  <conditionalFormatting sqref="G7:I8">
    <cfRule type="iconSet" priority="13">
      <iconSet showValue="0">
        <cfvo type="percent" val="0"/>
        <cfvo type="num" val="2"/>
        <cfvo type="num" val="3"/>
      </iconSet>
    </cfRule>
  </conditionalFormatting>
  <conditionalFormatting sqref="G12:I12 G14:I14">
    <cfRule type="iconSet" priority="11">
      <iconSet showValue="0">
        <cfvo type="percent" val="0"/>
        <cfvo type="num" val="2"/>
        <cfvo type="num" val="3"/>
      </iconSet>
    </cfRule>
  </conditionalFormatting>
  <conditionalFormatting sqref="K24">
    <cfRule type="iconSet" priority="5">
      <iconSet showValue="0">
        <cfvo type="percent" val="0"/>
        <cfvo type="num" val="2"/>
        <cfvo type="num" val="3"/>
      </iconSet>
    </cfRule>
  </conditionalFormatting>
  <conditionalFormatting sqref="K25:L25">
    <cfRule type="containsText" dxfId="123" priority="25" operator="containsText" text="PENDIENTE">
      <formula>NOT(ISERROR(SEARCH("PENDIENTE",K25)))</formula>
    </cfRule>
    <cfRule type="containsText" dxfId="122" priority="26" operator="containsText" text="NO VALIDADO">
      <formula>NOT(ISERROR(SEARCH("NO VALIDADO",K25)))</formula>
    </cfRule>
    <cfRule type="containsText" dxfId="121" priority="27" operator="containsText" text="VALIDADO">
      <formula>NOT(ISERROR(SEARCH("VALIDADO",K25)))</formula>
    </cfRule>
  </conditionalFormatting>
  <conditionalFormatting sqref="L24 O24 R24 U24">
    <cfRule type="iconSet" priority="15">
      <iconSet showValue="0">
        <cfvo type="percent" val="0"/>
        <cfvo type="num" val="2"/>
        <cfvo type="num" val="3"/>
      </iconSet>
    </cfRule>
  </conditionalFormatting>
  <conditionalFormatting sqref="N24">
    <cfRule type="iconSet" priority="4">
      <iconSet showValue="0">
        <cfvo type="percent" val="0"/>
        <cfvo type="num" val="2"/>
        <cfvo type="num" val="3"/>
      </iconSet>
    </cfRule>
  </conditionalFormatting>
  <conditionalFormatting sqref="N25:O25">
    <cfRule type="containsText" dxfId="120" priority="22" operator="containsText" text="PENDIENTE">
      <formula>NOT(ISERROR(SEARCH("PENDIENTE",N25)))</formula>
    </cfRule>
    <cfRule type="containsText" dxfId="119" priority="23" operator="containsText" text="NO VALIDADO">
      <formula>NOT(ISERROR(SEARCH("NO VALIDADO",N25)))</formula>
    </cfRule>
    <cfRule type="containsText" dxfId="118" priority="24" operator="containsText" text="VALIDADO">
      <formula>NOT(ISERROR(SEARCH("VALIDADO",N25)))</formula>
    </cfRule>
  </conditionalFormatting>
  <conditionalFormatting sqref="Q24">
    <cfRule type="iconSet" priority="3">
      <iconSet showValue="0">
        <cfvo type="percent" val="0"/>
        <cfvo type="num" val="2"/>
        <cfvo type="num" val="3"/>
      </iconSet>
    </cfRule>
  </conditionalFormatting>
  <conditionalFormatting sqref="Q25:R25">
    <cfRule type="containsText" dxfId="117" priority="19" operator="containsText" text="PENDIENTE">
      <formula>NOT(ISERROR(SEARCH("PENDIENTE",Q25)))</formula>
    </cfRule>
    <cfRule type="containsText" dxfId="116" priority="20" operator="containsText" text="NO VALIDADO">
      <formula>NOT(ISERROR(SEARCH("NO VALIDADO",Q25)))</formula>
    </cfRule>
    <cfRule type="containsText" dxfId="115" priority="21" operator="containsText" text="VALIDADO">
      <formula>NOT(ISERROR(SEARCH("VALIDADO",Q25)))</formula>
    </cfRule>
  </conditionalFormatting>
  <conditionalFormatting sqref="T24">
    <cfRule type="iconSet" priority="2">
      <iconSet showValue="0">
        <cfvo type="percent" val="0"/>
        <cfvo type="num" val="2"/>
        <cfvo type="num" val="3"/>
      </iconSet>
    </cfRule>
  </conditionalFormatting>
  <conditionalFormatting sqref="T25:U25">
    <cfRule type="containsText" dxfId="114" priority="16" operator="containsText" text="PENDIENTE">
      <formula>NOT(ISERROR(SEARCH("PENDIENTE",T25)))</formula>
    </cfRule>
    <cfRule type="containsText" dxfId="113" priority="17" operator="containsText" text="NO VALIDADO">
      <formula>NOT(ISERROR(SEARCH("NO VALIDADO",T25)))</formula>
    </cfRule>
    <cfRule type="containsText" dxfId="112" priority="18" operator="containsText" text="VALIDADO">
      <formula>NOT(ISERROR(SEARCH("VALIDADO",T25)))</formula>
    </cfRule>
  </conditionalFormatting>
  <dataValidations count="6">
    <dataValidation type="list" allowBlank="1" showInputMessage="1" showErrorMessage="1" sqref="D10" xr:uid="{2FD54986-448D-4D12-9763-86E3A6ADBA21}">
      <formula1>"No Cumple, Parcial,Cumple,Más que Cumple,Mejor Práctica"</formula1>
    </dataValidation>
    <dataValidation type="list" allowBlank="1" showInputMessage="1" showErrorMessage="1" sqref="S10 Q10" xr:uid="{CFA785AC-75BD-4302-A65F-0A7F07177A46}">
      <formula1>"Junio,Julio,Agosto,Septiembre,Octubre"</formula1>
    </dataValidation>
    <dataValidation type="list" allowBlank="1" showInputMessage="1" showErrorMessage="1" sqref="O10" xr:uid="{37293E2A-84E2-4BAE-9083-38DF41F5BE1A}">
      <formula1>"Alta,Baja,No Planificado"</formula1>
    </dataValidation>
    <dataValidation type="list" allowBlank="1" showInputMessage="1" showErrorMessage="1" sqref="AB14:AB15 R14:R15 N14:N15 V14:V15" xr:uid="{A1BF90DC-AB36-42A4-8414-E545A75CDEE8}">
      <formula1>"No Cumple, Parcial, Cumple, Más que Cumple, Mejor Práctica"</formula1>
    </dataValidation>
    <dataValidation type="list" allowBlank="1" showInputMessage="1" showErrorMessage="1" sqref="M12 Q12 U12" xr:uid="{42B2DE26-32E2-41CB-9C8D-D9265E9444DD}">
      <formula1>"Mayo,Junio,Julio,Agosto,Septiembre,Octubre"</formula1>
    </dataValidation>
    <dataValidation type="list" allowBlank="1" showInputMessage="1" showErrorMessage="1" sqref="K14:K15 O14:O15 S14:S15" xr:uid="{CA8AD79E-9C08-49D9-B487-21A68C4C21E2}">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901C126C-36F3-457C-88E6-52B62C5A2AAB}">
            <x14:iconSet iconSet="3Stars" showValue="0">
              <x14:cfvo type="percent">
                <xm:f>0</xm:f>
              </x14:cfvo>
              <x14:cfvo type="num">
                <xm:f>2</xm:f>
              </x14:cfvo>
              <x14:cfvo type="num">
                <xm:f>3</xm:f>
              </x14:cfvo>
            </x14:iconSet>
          </x14:cfRule>
          <xm:sqref>M10</xm:sqref>
        </x14:conditionalFormatting>
      </x14:conditionalFormattings>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8EF88-CD1E-47A8-9F26-EB9CE4469937}">
  <sheetPr codeName="Planilha70"/>
  <dimension ref="A1:AB51"/>
  <sheetViews>
    <sheetView showGridLines="0" zoomScale="50" zoomScaleNormal="50" workbookViewId="0">
      <pane xSplit="3" ySplit="4" topLeftCell="D7"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1018</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6.0000000000000001E-3</v>
      </c>
      <c r="F7" s="48">
        <f>IF($K$24&lt;&gt;"",IF($K$24=3,3,IF($K$24=2,2,1)),"")</f>
        <v>3</v>
      </c>
      <c r="G7" s="48">
        <f>IF($N$24&lt;&gt;"",IF($N$24=3,3,IF($N$24=2,2,1)),"")</f>
        <v>1</v>
      </c>
      <c r="H7" s="48" t="str">
        <f>IF($Q$24&lt;&gt;"",IF($Q$24=3,3,IF($Q$24=2,2,1)),"")</f>
        <v/>
      </c>
      <c r="I7" s="48" t="str">
        <f>IF($T$24&lt;&gt;"",IF($T$24=3,3,IF($T$24=2,2,1)),"")</f>
        <v/>
      </c>
      <c r="J7" s="32"/>
      <c r="K7" s="49" t="s">
        <v>224</v>
      </c>
      <c r="L7" s="46" t="s">
        <v>225</v>
      </c>
      <c r="M7" s="267" t="s">
        <v>1019</v>
      </c>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246</v>
      </c>
      <c r="E10" s="51">
        <f>IF($D10="Não cumpre",0,IF($D10="Parcial",$E$18*0.4,IF($D10="Cumpre",$E$18*0.7,IF($D10="Mais que cumpre",$E$18*0.85,IF($D10="Melhor Prática",$E$18,0)))))</f>
        <v>6.0000000000000001E-3</v>
      </c>
      <c r="F10" s="52" t="str">
        <f>IF(K20="D","D","-")</f>
        <v>-</v>
      </c>
      <c r="G10" s="52" t="str">
        <f>IF(N20="D","D","-")</f>
        <v>-</v>
      </c>
      <c r="H10" s="52" t="str">
        <f>IF(Q20="D","D","-")</f>
        <v>-</v>
      </c>
      <c r="I10" s="52" t="str">
        <f>IF(T20="D","D","-")</f>
        <v>-</v>
      </c>
      <c r="J10" s="32"/>
      <c r="K10" s="66" t="s">
        <v>230</v>
      </c>
      <c r="L10" s="50" t="s">
        <v>231</v>
      </c>
      <c r="M10" s="75">
        <v>1</v>
      </c>
      <c r="N10" s="50" t="s">
        <v>232</v>
      </c>
      <c r="O10" s="53" t="s">
        <v>285</v>
      </c>
      <c r="P10" s="50" t="s">
        <v>233</v>
      </c>
      <c r="Q10" s="92" t="s">
        <v>286</v>
      </c>
      <c r="R10" s="50" t="s">
        <v>235</v>
      </c>
      <c r="S10" s="92" t="s">
        <v>286</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
      </c>
      <c r="E12" s="273">
        <f>IF($D12="Não cumpre",0,IF($D12="Parcial",$E$18*0.4,IF($D12="Cumpre",$E$18*0.7,IF($D12="Mais que cumpre",$E$18*0.85,IF($D12="Melhor Prática",$E$18,0)))))</f>
        <v>0</v>
      </c>
      <c r="F12" s="268" t="str">
        <f>IF($L$24&lt;&gt;"",IF($L$24=3,3,IF($L$24=2,2,1)),"")</f>
        <v/>
      </c>
      <c r="G12" s="268" t="str">
        <f>IF($O$24&lt;&gt;"",IF($O$24=3,3,IF($O$24=2,2,1)),"")</f>
        <v/>
      </c>
      <c r="H12" s="268" t="str">
        <f>IF($R$24&lt;&gt;"",IF($R$24=3,3,IF($R$24=2,2,1)),"")</f>
        <v/>
      </c>
      <c r="I12" s="268" t="str">
        <f>IF($U$24&lt;&gt;"",IF($U$24=3,3,IF($U$24=2,2,1)),"")</f>
        <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1020</v>
      </c>
      <c r="L18" s="264"/>
      <c r="M18" s="265"/>
      <c r="N18" s="266" t="s">
        <v>1021</v>
      </c>
      <c r="O18" s="264"/>
      <c r="P18" s="265"/>
      <c r="Q18" s="266" t="s">
        <v>1022</v>
      </c>
      <c r="R18" s="264"/>
      <c r="S18" s="265"/>
      <c r="T18" s="266" t="s">
        <v>1023</v>
      </c>
      <c r="U18" s="264"/>
      <c r="V18" s="265"/>
      <c r="W18" s="9"/>
      <c r="X18" s="9"/>
      <c r="Y18" s="23"/>
    </row>
    <row r="19" spans="1:25" ht="141.75" customHeight="1" outlineLevel="2" x14ac:dyDescent="0.3">
      <c r="A19" s="1"/>
      <c r="B19" s="283"/>
      <c r="C19" s="283"/>
      <c r="D19" s="42" t="s">
        <v>257</v>
      </c>
      <c r="E19" s="307" t="s">
        <v>1024</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99</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862</v>
      </c>
      <c r="L21" s="264"/>
      <c r="M21" s="265"/>
      <c r="N21" s="266" t="s">
        <v>1025</v>
      </c>
      <c r="O21" s="264"/>
      <c r="P21" s="265"/>
      <c r="Q21" s="266" t="s">
        <v>455</v>
      </c>
      <c r="R21" s="264"/>
      <c r="S21" s="265"/>
      <c r="T21" s="266" t="s">
        <v>383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c r="M24" s="289"/>
      <c r="N24" s="56">
        <v>1</v>
      </c>
      <c r="O24" s="40"/>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1026</v>
      </c>
      <c r="L26" s="45"/>
      <c r="M26" s="289"/>
      <c r="N26" s="58" t="s">
        <v>1027</v>
      </c>
      <c r="O26" s="45"/>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 ref="M12:N12"/>
    <mergeCell ref="O12:P12"/>
    <mergeCell ref="K17:M17"/>
    <mergeCell ref="N17:P17"/>
    <mergeCell ref="K14:K15"/>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D15:I15"/>
    <mergeCell ref="B18:C21"/>
    <mergeCell ref="K18:M19"/>
    <mergeCell ref="N18:P19"/>
    <mergeCell ref="Q18:S19"/>
    <mergeCell ref="Q17:S17"/>
    <mergeCell ref="T18:V19"/>
    <mergeCell ref="E19:I19"/>
    <mergeCell ref="D20:D21"/>
    <mergeCell ref="E20:I21"/>
    <mergeCell ref="K20:M20"/>
    <mergeCell ref="N20:P20"/>
    <mergeCell ref="V24:V26"/>
    <mergeCell ref="G26:I26"/>
    <mergeCell ref="G27:I49"/>
    <mergeCell ref="Q20:S20"/>
    <mergeCell ref="T20:V20"/>
    <mergeCell ref="K21:M21"/>
    <mergeCell ref="N21:P21"/>
    <mergeCell ref="Q21:S21"/>
    <mergeCell ref="T21:V21"/>
    <mergeCell ref="F24:F49"/>
    <mergeCell ref="G24:I25"/>
    <mergeCell ref="M24:M26"/>
    <mergeCell ref="P24:P26"/>
    <mergeCell ref="S24:S26"/>
  </mergeCells>
  <conditionalFormatting sqref="D15:I15">
    <cfRule type="containsText" dxfId="111" priority="5" operator="containsText" text="Finalizado">
      <formula>NOT(ISERROR(SEARCH("Finalizado",D15)))</formula>
    </cfRule>
    <cfRule type="containsText" dxfId="110" priority="6" operator="containsText" text="No Planificado">
      <formula>NOT(ISERROR(SEARCH("No Planificado",D15)))</formula>
    </cfRule>
    <cfRule type="containsText" dxfId="109" priority="7" operator="containsText" text="A Tiempo">
      <formula>NOT(ISERROR(SEARCH("A Tiempo",D15)))</formula>
    </cfRule>
    <cfRule type="containsText" dxfId="108" priority="8" operator="containsText" text="Retrasado">
      <formula>NOT(ISERROR(SEARCH("Retrasado",D15)))</formula>
    </cfRule>
  </conditionalFormatting>
  <conditionalFormatting sqref="F7:F8">
    <cfRule type="iconSet" priority="12">
      <iconSet showValue="0">
        <cfvo type="percent" val="0"/>
        <cfvo type="num" val="2"/>
        <cfvo type="num" val="3"/>
      </iconSet>
    </cfRule>
  </conditionalFormatting>
  <conditionalFormatting sqref="F12 F14">
    <cfRule type="iconSet" priority="10">
      <iconSet showValue="0">
        <cfvo type="percent" val="0"/>
        <cfvo type="num" val="2"/>
        <cfvo type="num" val="3"/>
      </iconSet>
    </cfRule>
  </conditionalFormatting>
  <conditionalFormatting sqref="G7:I8">
    <cfRule type="iconSet" priority="11">
      <iconSet showValue="0">
        <cfvo type="percent" val="0"/>
        <cfvo type="num" val="2"/>
        <cfvo type="num" val="3"/>
      </iconSet>
    </cfRule>
  </conditionalFormatting>
  <conditionalFormatting sqref="G12:I12 G14:I14">
    <cfRule type="iconSet" priority="9">
      <iconSet showValue="0">
        <cfvo type="percent" val="0"/>
        <cfvo type="num" val="2"/>
        <cfvo type="num" val="3"/>
      </iconSet>
    </cfRule>
  </conditionalFormatting>
  <conditionalFormatting sqref="K24">
    <cfRule type="iconSet" priority="3">
      <iconSet showValue="0">
        <cfvo type="percent" val="0"/>
        <cfvo type="num" val="2"/>
        <cfvo type="num" val="3"/>
      </iconSet>
    </cfRule>
  </conditionalFormatting>
  <conditionalFormatting sqref="K25:L25">
    <cfRule type="containsText" dxfId="107" priority="23" operator="containsText" text="PENDIENTE">
      <formula>NOT(ISERROR(SEARCH("PENDIENTE",K25)))</formula>
    </cfRule>
    <cfRule type="containsText" dxfId="106" priority="24" operator="containsText" text="NO VALIDADO">
      <formula>NOT(ISERROR(SEARCH("NO VALIDADO",K25)))</formula>
    </cfRule>
    <cfRule type="containsText" dxfId="105" priority="25" operator="containsText" text="VALIDADO">
      <formula>NOT(ISERROR(SEARCH("VALIDADO",K25)))</formula>
    </cfRule>
  </conditionalFormatting>
  <conditionalFormatting sqref="L24 O24 Q24:R24 T24:U24">
    <cfRule type="iconSet" priority="13">
      <iconSet showValue="0">
        <cfvo type="percent" val="0"/>
        <cfvo type="num" val="2"/>
        <cfvo type="num" val="3"/>
      </iconSet>
    </cfRule>
  </conditionalFormatting>
  <conditionalFormatting sqref="N24">
    <cfRule type="iconSet" priority="2">
      <iconSet showValue="0">
        <cfvo type="percent" val="0"/>
        <cfvo type="num" val="2"/>
        <cfvo type="num" val="3"/>
      </iconSet>
    </cfRule>
  </conditionalFormatting>
  <conditionalFormatting sqref="N25:O25">
    <cfRule type="containsText" dxfId="104" priority="20" operator="containsText" text="PENDIENTE">
      <formula>NOT(ISERROR(SEARCH("PENDIENTE",N25)))</formula>
    </cfRule>
    <cfRule type="containsText" dxfId="103" priority="21" operator="containsText" text="NO VALIDADO">
      <formula>NOT(ISERROR(SEARCH("NO VALIDADO",N25)))</formula>
    </cfRule>
    <cfRule type="containsText" dxfId="102" priority="22" operator="containsText" text="VALIDADO">
      <formula>NOT(ISERROR(SEARCH("VALIDADO",N25)))</formula>
    </cfRule>
  </conditionalFormatting>
  <conditionalFormatting sqref="Q25:R25">
    <cfRule type="containsText" dxfId="101" priority="17" operator="containsText" text="PENDIENTE">
      <formula>NOT(ISERROR(SEARCH("PENDIENTE",Q25)))</formula>
    </cfRule>
    <cfRule type="containsText" dxfId="100" priority="18" operator="containsText" text="NO VALIDADO">
      <formula>NOT(ISERROR(SEARCH("NO VALIDADO",Q25)))</formula>
    </cfRule>
    <cfRule type="containsText" dxfId="99" priority="19" operator="containsText" text="VALIDADO">
      <formula>NOT(ISERROR(SEARCH("VALIDADO",Q25)))</formula>
    </cfRule>
  </conditionalFormatting>
  <conditionalFormatting sqref="T25:U25">
    <cfRule type="containsText" dxfId="98" priority="14" operator="containsText" text="PENDIENTE">
      <formula>NOT(ISERROR(SEARCH("PENDIENTE",T25)))</formula>
    </cfRule>
    <cfRule type="containsText" dxfId="97" priority="15" operator="containsText" text="NO VALIDADO">
      <formula>NOT(ISERROR(SEARCH("NO VALIDADO",T25)))</formula>
    </cfRule>
    <cfRule type="containsText" dxfId="96" priority="16" operator="containsText" text="VALIDADO">
      <formula>NOT(ISERROR(SEARCH("VALIDADO",T25)))</formula>
    </cfRule>
  </conditionalFormatting>
  <dataValidations count="6">
    <dataValidation type="list" allowBlank="1" showInputMessage="1" showErrorMessage="1" sqref="K14:K15 O14:O15 S14:S15" xr:uid="{62C818EF-4E7A-40BE-8B5E-5C96164BB428}">
      <formula1>"No Iniciado, En Progreso,Finalizado"</formula1>
    </dataValidation>
    <dataValidation type="list" allowBlank="1" showInputMessage="1" showErrorMessage="1" sqref="M12 Q12 U12" xr:uid="{0FE6F963-7EAB-43AE-99A2-AA741E00633A}">
      <formula1>"Mayo,Junio,Julio,Agosto,Septiembre,Octubre"</formula1>
    </dataValidation>
    <dataValidation type="list" allowBlank="1" showInputMessage="1" showErrorMessage="1" sqref="AB14:AB15 R14:R15 N14:N15 V14:V15" xr:uid="{4D26BD8F-B10A-42B7-A750-517129877CFC}">
      <formula1>"No Cumple, Parcial, Cumple, Más que Cumple, Mejor Práctica"</formula1>
    </dataValidation>
    <dataValidation type="list" allowBlank="1" showInputMessage="1" showErrorMessage="1" sqref="O10" xr:uid="{C91FC9D6-FEFF-47B4-932B-2ED2F742C5A7}">
      <formula1>"Alta,Baja,No Planificado"</formula1>
    </dataValidation>
    <dataValidation type="list" allowBlank="1" showInputMessage="1" showErrorMessage="1" sqref="S10 Q10" xr:uid="{2C9AAC1D-BB06-4759-AF4A-34E5F54F6DB0}">
      <formula1>"Junio,Julio,Agosto,Septiembre,Octubre"</formula1>
    </dataValidation>
    <dataValidation type="list" allowBlank="1" showInputMessage="1" showErrorMessage="1" sqref="D10" xr:uid="{258DF04A-7D81-44F2-BE66-DFB6139A6782}">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5778BB9C-74AC-491C-A4B1-C25A51C52BA9}">
            <x14:iconSet iconSet="3Stars" showValue="0">
              <x14:cfvo type="percent">
                <xm:f>0</xm:f>
              </x14:cfvo>
              <x14:cfvo type="num">
                <xm:f>2</xm:f>
              </x14:cfvo>
              <x14:cfvo type="num">
                <xm:f>3</xm:f>
              </x14:cfvo>
            </x14:iconSet>
          </x14:cfRule>
          <xm:sqref>M10</xm:sqref>
        </x14:conditionalFormatting>
      </x14:conditionalFormattings>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018D2-9CC6-4691-A41E-C3AC9F597811}">
  <sheetPr codeName="Planilha71"/>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1028</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t="str">
        <f>IF($N$24&lt;&gt;"",IF($N$24=3,3,IF($N$24=2,2,1)),"")</f>
        <v/>
      </c>
      <c r="H7" s="48" t="str">
        <f>IF($Q$24&lt;&gt;"",IF($Q$24=3,3,IF($Q$24=2,2,1)),"")</f>
        <v/>
      </c>
      <c r="I7" s="48" t="str">
        <f>IF($T$24&lt;&gt;"",IF($T$24=3,3,IF($T$24=2,2,1)),"")</f>
        <v/>
      </c>
      <c r="J7" s="32"/>
      <c r="K7" s="49" t="s">
        <v>224</v>
      </c>
      <c r="L7" s="46" t="s">
        <v>225</v>
      </c>
      <c r="M7" s="267"/>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246</v>
      </c>
      <c r="E10" s="51">
        <f>IF($D10="Não cumpre",0,IF($D10="Parcial",$E$18*0.4,IF($D10="Cumpre",$E$18*0.7,IF($D10="Mais que cumpre",$E$18*0.85,IF($D10="Melhor Prática",$E$18,0)))))</f>
        <v>6.0000000000000001E-3</v>
      </c>
      <c r="F10" s="52" t="str">
        <f>IF(K20="D","D","-")</f>
        <v>D</v>
      </c>
      <c r="G10" s="52" t="str">
        <f>IF(N20="D","D","-")</f>
        <v>-</v>
      </c>
      <c r="H10" s="52" t="str">
        <f>IF(Q20="D","D","-")</f>
        <v>-</v>
      </c>
      <c r="I10" s="52" t="str">
        <f>IF(T20="D","D","-")</f>
        <v>-</v>
      </c>
      <c r="J10" s="32"/>
      <c r="K10" s="66" t="s">
        <v>230</v>
      </c>
      <c r="L10" s="50" t="s">
        <v>231</v>
      </c>
      <c r="M10" s="75">
        <v>1</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Cumpre</v>
      </c>
      <c r="E12" s="273">
        <f>IF($D12="Não cumpre",0,IF($D12="Parcial",$E$18*0.4,IF($D12="Cumpre",$E$18*0.7,IF($D12="Mais que cumpre",$E$18*0.85,IF($D12="Melhor Prática",$E$18,0)))))</f>
        <v>1.0499999999999999E-2</v>
      </c>
      <c r="F12" s="268">
        <f>IF($L$24&lt;&gt;"",IF($L$24=3,3,IF($L$24=2,2,1)),"")</f>
        <v>3</v>
      </c>
      <c r="G12" s="268">
        <f>IF($O$24&lt;&gt;"",IF($O$24=3,3,IF($O$24=2,2,1)),"")</f>
        <v>3</v>
      </c>
      <c r="H12" s="268" t="str">
        <f>IF($R$24&lt;&gt;"",IF($R$24=3,3,IF($R$24=2,2,1)),"")</f>
        <v/>
      </c>
      <c r="I12" s="268" t="str">
        <f>IF($U$24&lt;&gt;"",IF($U$24=3,3,IF($U$24=2,2,1)),"")</f>
        <v/>
      </c>
      <c r="J12" s="32"/>
      <c r="K12" s="300" t="s">
        <v>240</v>
      </c>
      <c r="L12" s="274"/>
      <c r="M12" s="280" t="s">
        <v>303</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t="s">
        <v>323</v>
      </c>
      <c r="M14" s="286"/>
      <c r="N14" s="265" t="s">
        <v>422</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t="s">
        <v>250</v>
      </c>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1.4999999999999999E-2</v>
      </c>
      <c r="F18" s="116"/>
      <c r="G18" s="116"/>
      <c r="H18" s="116"/>
      <c r="I18" s="116"/>
      <c r="J18" s="9"/>
      <c r="K18" s="266" t="s">
        <v>1029</v>
      </c>
      <c r="L18" s="264"/>
      <c r="M18" s="265"/>
      <c r="N18" s="266" t="s">
        <v>1030</v>
      </c>
      <c r="O18" s="264"/>
      <c r="P18" s="265"/>
      <c r="Q18" s="266" t="s">
        <v>1031</v>
      </c>
      <c r="R18" s="264"/>
      <c r="S18" s="265"/>
      <c r="T18" s="266" t="s">
        <v>1032</v>
      </c>
      <c r="U18" s="264"/>
      <c r="V18" s="265"/>
      <c r="W18" s="9"/>
      <c r="X18" s="9"/>
      <c r="Y18" s="23"/>
    </row>
    <row r="19" spans="1:25" ht="141.75" customHeight="1" outlineLevel="2" x14ac:dyDescent="0.3">
      <c r="A19" s="1"/>
      <c r="B19" s="283"/>
      <c r="C19" s="283"/>
      <c r="D19" s="42" t="s">
        <v>257</v>
      </c>
      <c r="E19" s="307" t="s">
        <v>1024</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1033</v>
      </c>
      <c r="F20" s="288"/>
      <c r="G20" s="288"/>
      <c r="H20" s="288"/>
      <c r="I20" s="288"/>
      <c r="J20" s="25"/>
      <c r="K20" s="266" t="s">
        <v>260</v>
      </c>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716</v>
      </c>
      <c r="L21" s="264"/>
      <c r="M21" s="265"/>
      <c r="N21" s="266" t="s">
        <v>1034</v>
      </c>
      <c r="O21" s="264"/>
      <c r="P21" s="265"/>
      <c r="Q21" s="266" t="s">
        <v>718</v>
      </c>
      <c r="R21" s="264"/>
      <c r="S21" s="265"/>
      <c r="T21" s="266" t="s">
        <v>719</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c r="O24" s="40">
        <v>3</v>
      </c>
      <c r="P24" s="289"/>
      <c r="Q24" s="56"/>
      <c r="R24" s="40"/>
      <c r="S24" s="289"/>
      <c r="T24" s="56"/>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c r="L26" s="45" t="s">
        <v>1188</v>
      </c>
      <c r="M26" s="289"/>
      <c r="N26" s="58"/>
      <c r="O26" s="45" t="s">
        <v>1189</v>
      </c>
      <c r="P26" s="289"/>
      <c r="Q26" s="58"/>
      <c r="R26" s="45"/>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 ref="M12:N12"/>
    <mergeCell ref="O12:P12"/>
    <mergeCell ref="K17:M17"/>
    <mergeCell ref="N17:P17"/>
    <mergeCell ref="K14:K15"/>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D15:I15"/>
    <mergeCell ref="B18:C21"/>
    <mergeCell ref="K18:M19"/>
    <mergeCell ref="N18:P19"/>
    <mergeCell ref="Q18:S19"/>
    <mergeCell ref="Q17:S17"/>
    <mergeCell ref="T18:V19"/>
    <mergeCell ref="E19:I19"/>
    <mergeCell ref="D20:D21"/>
    <mergeCell ref="E20:I21"/>
    <mergeCell ref="K20:M20"/>
    <mergeCell ref="N20:P20"/>
    <mergeCell ref="V24:V26"/>
    <mergeCell ref="G26:I26"/>
    <mergeCell ref="G27:I49"/>
    <mergeCell ref="Q20:S20"/>
    <mergeCell ref="T20:V20"/>
    <mergeCell ref="K21:M21"/>
    <mergeCell ref="N21:P21"/>
    <mergeCell ref="Q21:S21"/>
    <mergeCell ref="T21:V21"/>
    <mergeCell ref="F24:F49"/>
    <mergeCell ref="G24:I25"/>
    <mergeCell ref="M24:M26"/>
    <mergeCell ref="P24:P26"/>
    <mergeCell ref="S24:S26"/>
  </mergeCells>
  <conditionalFormatting sqref="D15:I15">
    <cfRule type="containsText" dxfId="95" priority="3" operator="containsText" text="Finalizado">
      <formula>NOT(ISERROR(SEARCH("Finalizado",D15)))</formula>
    </cfRule>
    <cfRule type="containsText" dxfId="94" priority="4" operator="containsText" text="No Planificado">
      <formula>NOT(ISERROR(SEARCH("No Planificado",D15)))</formula>
    </cfRule>
    <cfRule type="containsText" dxfId="93" priority="5" operator="containsText" text="A Tiempo">
      <formula>NOT(ISERROR(SEARCH("A Tiempo",D15)))</formula>
    </cfRule>
    <cfRule type="containsText" dxfId="92" priority="6" operator="containsText" text="Retrasado">
      <formula>NOT(ISERROR(SEARCH("Retrasado",D15)))</formula>
    </cfRule>
  </conditionalFormatting>
  <conditionalFormatting sqref="F7:F8">
    <cfRule type="iconSet" priority="10">
      <iconSet showValue="0">
        <cfvo type="percent" val="0"/>
        <cfvo type="num" val="2"/>
        <cfvo type="num" val="3"/>
      </iconSet>
    </cfRule>
  </conditionalFormatting>
  <conditionalFormatting sqref="F12 F14">
    <cfRule type="iconSet" priority="8">
      <iconSet showValue="0">
        <cfvo type="percent" val="0"/>
        <cfvo type="num" val="2"/>
        <cfvo type="num" val="3"/>
      </iconSet>
    </cfRule>
  </conditionalFormatting>
  <conditionalFormatting sqref="G7:I8">
    <cfRule type="iconSet" priority="9">
      <iconSet showValue="0">
        <cfvo type="percent" val="0"/>
        <cfvo type="num" val="2"/>
        <cfvo type="num" val="3"/>
      </iconSet>
    </cfRule>
  </conditionalFormatting>
  <conditionalFormatting sqref="G12:I12 G14:I14">
    <cfRule type="iconSet" priority="7">
      <iconSet showValue="0">
        <cfvo type="percent" val="0"/>
        <cfvo type="num" val="2"/>
        <cfvo type="num" val="3"/>
      </iconSet>
    </cfRule>
  </conditionalFormatting>
  <conditionalFormatting sqref="K24:L24 N24:O24 Q24:R24 T24:U24">
    <cfRule type="iconSet" priority="11">
      <iconSet showValue="0">
        <cfvo type="percent" val="0"/>
        <cfvo type="num" val="2"/>
        <cfvo type="num" val="3"/>
      </iconSet>
    </cfRule>
  </conditionalFormatting>
  <conditionalFormatting sqref="K25:L25">
    <cfRule type="containsText" dxfId="91" priority="21" operator="containsText" text="PENDIENTE">
      <formula>NOT(ISERROR(SEARCH("PENDIENTE",K25)))</formula>
    </cfRule>
    <cfRule type="containsText" dxfId="90" priority="22" operator="containsText" text="NO VALIDADO">
      <formula>NOT(ISERROR(SEARCH("NO VALIDADO",K25)))</formula>
    </cfRule>
    <cfRule type="containsText" dxfId="89" priority="23" operator="containsText" text="VALIDADO">
      <formula>NOT(ISERROR(SEARCH("VALIDADO",K25)))</formula>
    </cfRule>
  </conditionalFormatting>
  <conditionalFormatting sqref="N25:O25">
    <cfRule type="containsText" dxfId="88" priority="18" operator="containsText" text="PENDIENTE">
      <formula>NOT(ISERROR(SEARCH("PENDIENTE",N25)))</formula>
    </cfRule>
    <cfRule type="containsText" dxfId="87" priority="19" operator="containsText" text="NO VALIDADO">
      <formula>NOT(ISERROR(SEARCH("NO VALIDADO",N25)))</formula>
    </cfRule>
    <cfRule type="containsText" dxfId="86" priority="20" operator="containsText" text="VALIDADO">
      <formula>NOT(ISERROR(SEARCH("VALIDADO",N25)))</formula>
    </cfRule>
  </conditionalFormatting>
  <conditionalFormatting sqref="Q25:R25">
    <cfRule type="containsText" dxfId="85" priority="15" operator="containsText" text="PENDIENTE">
      <formula>NOT(ISERROR(SEARCH("PENDIENTE",Q25)))</formula>
    </cfRule>
    <cfRule type="containsText" dxfId="84" priority="16" operator="containsText" text="NO VALIDADO">
      <formula>NOT(ISERROR(SEARCH("NO VALIDADO",Q25)))</formula>
    </cfRule>
    <cfRule type="containsText" dxfId="83" priority="17" operator="containsText" text="VALIDADO">
      <formula>NOT(ISERROR(SEARCH("VALIDADO",Q25)))</formula>
    </cfRule>
  </conditionalFormatting>
  <conditionalFormatting sqref="T25:U25">
    <cfRule type="containsText" dxfId="82" priority="12" operator="containsText" text="PENDIENTE">
      <formula>NOT(ISERROR(SEARCH("PENDIENTE",T25)))</formula>
    </cfRule>
    <cfRule type="containsText" dxfId="81" priority="13" operator="containsText" text="NO VALIDADO">
      <formula>NOT(ISERROR(SEARCH("NO VALIDADO",T25)))</formula>
    </cfRule>
    <cfRule type="containsText" dxfId="80" priority="14" operator="containsText" text="VALIDADO">
      <formula>NOT(ISERROR(SEARCH("VALIDADO",T25)))</formula>
    </cfRule>
  </conditionalFormatting>
  <dataValidations count="6">
    <dataValidation type="list" allowBlank="1" showInputMessage="1" showErrorMessage="1" sqref="D10" xr:uid="{5D489DA3-DC0F-4658-B05F-A83337BE446D}">
      <formula1>"No Cumple, Parcial,Cumple,Más que Cumple,Mejor Práctica"</formula1>
    </dataValidation>
    <dataValidation type="list" allowBlank="1" showInputMessage="1" showErrorMessage="1" sqref="S10 Q10" xr:uid="{E4BF8F50-7123-4E2E-B694-9FC8B14B4F02}">
      <formula1>"Junio,Julio,Agosto,Septiembre,Octubre"</formula1>
    </dataValidation>
    <dataValidation type="list" allowBlank="1" showInputMessage="1" showErrorMessage="1" sqref="O10" xr:uid="{F5016790-5EB4-44C3-821D-97246BA4C0FF}">
      <formula1>"Alta,Baja,No Planificado"</formula1>
    </dataValidation>
    <dataValidation type="list" allowBlank="1" showInputMessage="1" showErrorMessage="1" sqref="AB14:AB15 R14:R15 N14:N15 V14:V15" xr:uid="{64730BAA-0B95-4280-9DCB-159C602C0454}">
      <formula1>"No Cumple, Parcial, Cumple, Más que Cumple, Mejor Práctica"</formula1>
    </dataValidation>
    <dataValidation type="list" allowBlank="1" showInputMessage="1" showErrorMessage="1" sqref="M12 Q12 U12" xr:uid="{3E02C6E1-4FFD-444D-949C-3AF29B479FBE}">
      <formula1>"Mayo,Junio,Julio,Agosto,Septiembre,Octubre"</formula1>
    </dataValidation>
    <dataValidation type="list" allowBlank="1" showInputMessage="1" showErrorMessage="1" sqref="K14:K15 O14:O15 S14:S15" xr:uid="{7FD61E2B-E347-4F31-B106-6153DCEED3E7}">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2AFD924C-AF47-4459-BE0D-E093DD10482D}">
            <x14:iconSet iconSet="3Stars" showValue="0">
              <x14:cfvo type="percent">
                <xm:f>0</xm:f>
              </x14:cfvo>
              <x14:cfvo type="num">
                <xm:f>2</xm:f>
              </x14:cfvo>
              <x14:cfvo type="num">
                <xm:f>3</xm:f>
              </x14:cfvo>
            </x14:iconSet>
          </x14:cfRule>
          <xm:sqref>M10</xm:sqref>
        </x14:conditionalFormatting>
      </x14:conditionalFormattings>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1837E-2E73-409E-934B-3BE53365F918}">
  <sheetPr codeName="Planilha72"/>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Q18" sqref="Q18:S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1035</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Cumpre</v>
      </c>
      <c r="E7" s="47">
        <f>IF($D7="Não cumpre",0,IF($D7="Parcial",$E$18*0.4,IF($D7="Cumpre",$E$18*0.7,IF($D7="Mais que cumpre",$E$18*0.85,IF($D7="Melhor Prática",$E$18,0)))))</f>
        <v>1.3999999999999999E-2</v>
      </c>
      <c r="F7" s="48">
        <f>IF($K$24&lt;&gt;"",IF($K$24=3,3,IF($K$24=2,2,1)),"")</f>
        <v>3</v>
      </c>
      <c r="G7" s="48">
        <f>IF($N$24&lt;&gt;"",IF($N$24=3,3,IF($N$24=2,2,1)),"")</f>
        <v>3</v>
      </c>
      <c r="H7" s="48" t="str">
        <f>IF($Q$24&lt;&gt;"",IF($Q$24=3,3,IF($Q$24=2,2,1)),"")</f>
        <v/>
      </c>
      <c r="I7" s="48" t="str">
        <f>IF($T$24&lt;&gt;"",IF($T$24=3,3,IF($T$24=2,2,1)),"")</f>
        <v/>
      </c>
      <c r="J7" s="32"/>
      <c r="K7" s="49" t="s">
        <v>224</v>
      </c>
      <c r="L7" s="46" t="s">
        <v>225</v>
      </c>
      <c r="M7" s="267" t="s">
        <v>1036</v>
      </c>
      <c r="N7" s="267"/>
      <c r="O7" s="267"/>
      <c r="P7" s="46" t="s">
        <v>227</v>
      </c>
      <c r="Q7" s="267"/>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248</v>
      </c>
      <c r="E10" s="51">
        <f>IF($D10="Não cumpre",0,IF($D10="Parcial",$E$18*0.4,IF($D10="Cumpre",$E$18*0.7,IF($D10="Mais que cumpre",$E$18*0.85,IF($D10="Melhor Prática",$E$18,0)))))</f>
        <v>1.3999999999999999E-2</v>
      </c>
      <c r="F10" s="52" t="str">
        <f>IF(K20="D","D","-")</f>
        <v>-</v>
      </c>
      <c r="G10" s="52" t="str">
        <f>IF(N20="D","D","-")</f>
        <v>-</v>
      </c>
      <c r="H10" s="52" t="str">
        <f>IF(Q20="D","D","-")</f>
        <v>D</v>
      </c>
      <c r="I10" s="52" t="str">
        <f>IF(T20="D","D","-")</f>
        <v>D</v>
      </c>
      <c r="J10" s="32"/>
      <c r="K10" s="66" t="s">
        <v>230</v>
      </c>
      <c r="L10" s="50" t="s">
        <v>231</v>
      </c>
      <c r="M10" s="75">
        <v>1</v>
      </c>
      <c r="N10" s="50" t="s">
        <v>232</v>
      </c>
      <c r="O10" s="53" t="s">
        <v>285</v>
      </c>
      <c r="P10" s="50" t="s">
        <v>233</v>
      </c>
      <c r="Q10" s="92" t="s">
        <v>286</v>
      </c>
      <c r="R10" s="50" t="s">
        <v>235</v>
      </c>
      <c r="S10" s="92" t="s">
        <v>286</v>
      </c>
      <c r="T10" s="50" t="s">
        <v>237</v>
      </c>
      <c r="U10" s="53"/>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0.02</v>
      </c>
      <c r="F12" s="268">
        <f>IF($L$24&lt;&gt;"",IF($L$24=3,3,IF($L$24=2,2,1)),"")</f>
        <v>3</v>
      </c>
      <c r="G12" s="268">
        <f>IF($O$24&lt;&gt;"",IF($O$24=3,3,IF($O$24=2,2,1)),"")</f>
        <v>3</v>
      </c>
      <c r="H12" s="268">
        <f>IF($R$24&lt;&gt;"",IF($R$24=3,3,IF($R$24=2,2,1)),"")</f>
        <v>3</v>
      </c>
      <c r="I12" s="268">
        <f>IF($U$24&lt;&gt;"",IF($U$24=3,3,IF($U$24=2,2,1)),"")</f>
        <v>3</v>
      </c>
      <c r="J12" s="32"/>
      <c r="K12" s="300" t="s">
        <v>240</v>
      </c>
      <c r="L12" s="274"/>
      <c r="M12" s="280"/>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c r="L14" s="286"/>
      <c r="M14" s="286"/>
      <c r="N14" s="265"/>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t="s">
        <v>250</v>
      </c>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0.02</v>
      </c>
      <c r="F18" s="116"/>
      <c r="G18" s="116"/>
      <c r="H18" s="116"/>
      <c r="I18" s="116"/>
      <c r="J18" s="9"/>
      <c r="K18" s="266" t="s">
        <v>1037</v>
      </c>
      <c r="L18" s="264"/>
      <c r="M18" s="265"/>
      <c r="N18" s="266" t="s">
        <v>1038</v>
      </c>
      <c r="O18" s="264"/>
      <c r="P18" s="265"/>
      <c r="Q18" s="266" t="s">
        <v>1039</v>
      </c>
      <c r="R18" s="264"/>
      <c r="S18" s="265"/>
      <c r="T18" s="266" t="s">
        <v>1040</v>
      </c>
      <c r="U18" s="264"/>
      <c r="V18" s="265"/>
      <c r="W18" s="9"/>
      <c r="X18" s="9"/>
      <c r="Y18" s="23"/>
    </row>
    <row r="19" spans="1:25" ht="141.75" customHeight="1" outlineLevel="2" x14ac:dyDescent="0.3">
      <c r="A19" s="1"/>
      <c r="B19" s="283"/>
      <c r="C19" s="283"/>
      <c r="D19" s="42" t="s">
        <v>257</v>
      </c>
      <c r="E19" s="307" t="s">
        <v>1041</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1042</v>
      </c>
      <c r="L21" s="264"/>
      <c r="M21" s="265"/>
      <c r="N21" s="266" t="s">
        <v>441</v>
      </c>
      <c r="O21" s="264"/>
      <c r="P21" s="265"/>
      <c r="Q21" s="266" t="s">
        <v>1043</v>
      </c>
      <c r="R21" s="264"/>
      <c r="S21" s="265"/>
      <c r="T21" s="266" t="s">
        <v>1044</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c r="R24" s="40">
        <v>3</v>
      </c>
      <c r="S24" s="289"/>
      <c r="T24" s="56"/>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1045</v>
      </c>
      <c r="L26" s="45"/>
      <c r="M26" s="289"/>
      <c r="N26" s="58" t="s">
        <v>1046</v>
      </c>
      <c r="O26" s="45"/>
      <c r="P26" s="289"/>
      <c r="Q26" s="58"/>
      <c r="R26" s="228" t="s">
        <v>1190</v>
      </c>
      <c r="S26" s="289"/>
      <c r="T26" s="58"/>
      <c r="U26" s="45" t="s">
        <v>1213</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 ref="M12:N12"/>
    <mergeCell ref="O12:P12"/>
    <mergeCell ref="K17:M17"/>
    <mergeCell ref="N17:P17"/>
    <mergeCell ref="K14:K15"/>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D15:I15"/>
    <mergeCell ref="B18:C21"/>
    <mergeCell ref="K18:M19"/>
    <mergeCell ref="N18:P19"/>
    <mergeCell ref="Q18:S19"/>
    <mergeCell ref="Q17:S17"/>
    <mergeCell ref="T18:V19"/>
    <mergeCell ref="E19:I19"/>
    <mergeCell ref="D20:D21"/>
    <mergeCell ref="E20:I21"/>
    <mergeCell ref="K20:M20"/>
    <mergeCell ref="N20:P20"/>
    <mergeCell ref="V24:V26"/>
    <mergeCell ref="G26:I26"/>
    <mergeCell ref="G27:I49"/>
    <mergeCell ref="Q20:S20"/>
    <mergeCell ref="T20:V20"/>
    <mergeCell ref="K21:M21"/>
    <mergeCell ref="N21:P21"/>
    <mergeCell ref="Q21:S21"/>
    <mergeCell ref="T21:V21"/>
    <mergeCell ref="F24:F49"/>
    <mergeCell ref="G24:I25"/>
    <mergeCell ref="M24:M26"/>
    <mergeCell ref="P24:P26"/>
    <mergeCell ref="S24:S26"/>
  </mergeCells>
  <conditionalFormatting sqref="D15:I15">
    <cfRule type="containsText" dxfId="79" priority="2" operator="containsText" text="Finalizado">
      <formula>NOT(ISERROR(SEARCH("Finalizado",D15)))</formula>
    </cfRule>
    <cfRule type="containsText" dxfId="78" priority="3" operator="containsText" text="No Planificado">
      <formula>NOT(ISERROR(SEARCH("No Planificado",D15)))</formula>
    </cfRule>
    <cfRule type="containsText" dxfId="77" priority="4" operator="containsText" text="A Tiempo">
      <formula>NOT(ISERROR(SEARCH("A Tiempo",D15)))</formula>
    </cfRule>
    <cfRule type="containsText" dxfId="76"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75" priority="20" operator="containsText" text="PENDIENTE">
      <formula>NOT(ISERROR(SEARCH("PENDIENTE",K25)))</formula>
    </cfRule>
    <cfRule type="containsText" dxfId="74" priority="21" operator="containsText" text="NO VALIDADO">
      <formula>NOT(ISERROR(SEARCH("NO VALIDADO",K25)))</formula>
    </cfRule>
    <cfRule type="containsText" dxfId="73" priority="22" operator="containsText" text="VALIDADO">
      <formula>NOT(ISERROR(SEARCH("VALIDADO",K25)))</formula>
    </cfRule>
  </conditionalFormatting>
  <conditionalFormatting sqref="N25:O25">
    <cfRule type="containsText" dxfId="72" priority="17" operator="containsText" text="PENDIENTE">
      <formula>NOT(ISERROR(SEARCH("PENDIENTE",N25)))</formula>
    </cfRule>
    <cfRule type="containsText" dxfId="71" priority="18" operator="containsText" text="NO VALIDADO">
      <formula>NOT(ISERROR(SEARCH("NO VALIDADO",N25)))</formula>
    </cfRule>
    <cfRule type="containsText" dxfId="70" priority="19" operator="containsText" text="VALIDADO">
      <formula>NOT(ISERROR(SEARCH("VALIDADO",N25)))</formula>
    </cfRule>
  </conditionalFormatting>
  <conditionalFormatting sqref="Q25:R25">
    <cfRule type="containsText" dxfId="69" priority="14" operator="containsText" text="PENDIENTE">
      <formula>NOT(ISERROR(SEARCH("PENDIENTE",Q25)))</formula>
    </cfRule>
    <cfRule type="containsText" dxfId="68" priority="15" operator="containsText" text="NO VALIDADO">
      <formula>NOT(ISERROR(SEARCH("NO VALIDADO",Q25)))</formula>
    </cfRule>
    <cfRule type="containsText" dxfId="67" priority="16" operator="containsText" text="VALIDADO">
      <formula>NOT(ISERROR(SEARCH("VALIDADO",Q25)))</formula>
    </cfRule>
  </conditionalFormatting>
  <conditionalFormatting sqref="T25:U25">
    <cfRule type="containsText" dxfId="66" priority="11" operator="containsText" text="PENDIENTE">
      <formula>NOT(ISERROR(SEARCH("PENDIENTE",T25)))</formula>
    </cfRule>
    <cfRule type="containsText" dxfId="65" priority="12" operator="containsText" text="NO VALIDADO">
      <formula>NOT(ISERROR(SEARCH("NO VALIDADO",T25)))</formula>
    </cfRule>
    <cfRule type="containsText" dxfId="64" priority="13" operator="containsText" text="VALIDADO">
      <formula>NOT(ISERROR(SEARCH("VALIDADO",T25)))</formula>
    </cfRule>
  </conditionalFormatting>
  <dataValidations count="6">
    <dataValidation type="list" allowBlank="1" showInputMessage="1" showErrorMessage="1" sqref="K14:K15 O14:O15 S14:S15" xr:uid="{F11A72C6-BCAB-4CEB-9504-6CED0E909610}">
      <formula1>"No Iniciado, En Progreso,Finalizado"</formula1>
    </dataValidation>
    <dataValidation type="list" allowBlank="1" showInputMessage="1" showErrorMessage="1" sqref="M12 Q12 U12" xr:uid="{4451230B-570C-4817-884C-B290C1B4D435}">
      <formula1>"Mayo,Junio,Julio,Agosto,Septiembre,Octubre"</formula1>
    </dataValidation>
    <dataValidation type="list" allowBlank="1" showInputMessage="1" showErrorMessage="1" sqref="AB14:AB15 R14:R15 N14:N15 V14:V15" xr:uid="{523A635C-8235-4B21-BD7A-3FED00CF530E}">
      <formula1>"No Cumple, Parcial, Cumple, Más que Cumple, Mejor Práctica"</formula1>
    </dataValidation>
    <dataValidation type="list" allowBlank="1" showInputMessage="1" showErrorMessage="1" sqref="O10" xr:uid="{E309492E-0328-458E-94C5-34CFBBCFD596}">
      <formula1>"Alta,Baja,No Planificado"</formula1>
    </dataValidation>
    <dataValidation type="list" allowBlank="1" showInputMessage="1" showErrorMessage="1" sqref="S10 Q10" xr:uid="{D1F9A06B-2F08-4D12-A879-A2EA7BD44C3D}">
      <formula1>"Junio,Julio,Agosto,Septiembre,Octubre"</formula1>
    </dataValidation>
    <dataValidation type="list" allowBlank="1" showInputMessage="1" showErrorMessage="1" sqref="D10" xr:uid="{9475A186-C3C5-4C28-B602-01D578427FF8}">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3ED3F54D-347B-47EE-AB6F-26B7E3970A17}">
            <x14:iconSet iconSet="3Stars" showValue="0">
              <x14:cfvo type="percent">
                <xm:f>0</xm:f>
              </x14:cfvo>
              <x14:cfvo type="num">
                <xm:f>2</xm:f>
              </x14:cfvo>
              <x14:cfvo type="num">
                <xm:f>3</xm:f>
              </x14:cfvo>
            </x14:iconSet>
          </x14:cfRule>
          <xm:sqref>M10</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1FF63-F78A-489D-AA3A-C4ECC5BE1899}">
  <sheetPr codeName="Planilha73"/>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T18" sqref="T18:V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1047</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Mais que cumpre</v>
      </c>
      <c r="E7" s="47">
        <f>IF($D7="Não cumpre",0,IF($D7="Parcial",$E$18*0.4,IF($D7="Cumpre",$E$18*0.7,IF($D7="Mais que cumpre",$E$18*0.85,IF($D7="Melhor Prática",$E$18,0)))))</f>
        <v>4.2500000000000003E-3</v>
      </c>
      <c r="F7" s="48">
        <f>IF($K$24&lt;&gt;"",IF($K$24=3,3,IF($K$24=2,2,1)),"")</f>
        <v>3</v>
      </c>
      <c r="G7" s="48">
        <f>IF($N$24&lt;&gt;"",IF($N$24=3,3,IF($N$24=2,2,1)),"")</f>
        <v>3</v>
      </c>
      <c r="H7" s="48">
        <f>IF($Q$24&lt;&gt;"",IF($Q$24=3,3,IF($Q$24=2,2,1)),"")</f>
        <v>3</v>
      </c>
      <c r="I7" s="48">
        <f>IF($T$24&lt;&gt;"",IF($T$24=3,3,IF($T$24=2,2,1)),"")</f>
        <v>1</v>
      </c>
      <c r="J7" s="32"/>
      <c r="K7" s="49" t="s">
        <v>224</v>
      </c>
      <c r="L7" s="46" t="s">
        <v>225</v>
      </c>
      <c r="M7" s="267" t="s">
        <v>1048</v>
      </c>
      <c r="N7" s="267"/>
      <c r="O7" s="267"/>
      <c r="P7" s="46" t="s">
        <v>227</v>
      </c>
      <c r="Q7" s="267" t="s">
        <v>1049</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f>IF(Q10="Junho",6,IF(Q10="Julho",7,IF(Q10="Agosto",8,IF(Q10="Setembro",9,IF(Q10="Outubro",10,"")))))</f>
        <v>8</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251</v>
      </c>
      <c r="E10" s="51">
        <f>IF($D10="Não cumpre",0,IF($D10="Parcial",$E$18*0.4,IF($D10="Cumpre",$E$18*0.7,IF($D10="Mais que cumpre",$E$18*0.85,IF($D10="Melhor Prática",$E$18,0)))))</f>
        <v>5.0000000000000001E-3</v>
      </c>
      <c r="F10" s="52" t="str">
        <f>IF(K20="D","D","-")</f>
        <v>-</v>
      </c>
      <c r="G10" s="52" t="str">
        <f>IF(N20="D","D","-")</f>
        <v>-</v>
      </c>
      <c r="H10" s="52" t="str">
        <f>IF(Q20="D","D","-")</f>
        <v>-</v>
      </c>
      <c r="I10" s="52" t="str">
        <f>IF(T20="D","D","-")</f>
        <v>D</v>
      </c>
      <c r="J10" s="32"/>
      <c r="K10" s="66" t="s">
        <v>230</v>
      </c>
      <c r="L10" s="50" t="s">
        <v>231</v>
      </c>
      <c r="M10" s="75">
        <v>3</v>
      </c>
      <c r="N10" s="50" t="s">
        <v>232</v>
      </c>
      <c r="O10" s="53" t="s">
        <v>374</v>
      </c>
      <c r="P10" s="50" t="s">
        <v>233</v>
      </c>
      <c r="Q10" s="92" t="s">
        <v>234</v>
      </c>
      <c r="R10" s="50" t="s">
        <v>235</v>
      </c>
      <c r="S10" s="92" t="s">
        <v>321</v>
      </c>
      <c r="T10" s="50" t="s">
        <v>237</v>
      </c>
      <c r="U10" s="53" t="s">
        <v>531</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5.0000000000000001E-3</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422</v>
      </c>
      <c r="O14" s="266" t="s">
        <v>249</v>
      </c>
      <c r="P14" s="286" t="s">
        <v>323</v>
      </c>
      <c r="Q14" s="286"/>
      <c r="R14" s="265" t="s">
        <v>275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Finalizado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t="s">
        <v>250</v>
      </c>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5.0000000000000001E-3</v>
      </c>
      <c r="F18" s="116"/>
      <c r="G18" s="116"/>
      <c r="H18" s="116"/>
      <c r="I18" s="116"/>
      <c r="J18" s="9"/>
      <c r="K18" s="266" t="s">
        <v>1050</v>
      </c>
      <c r="L18" s="264"/>
      <c r="M18" s="265"/>
      <c r="N18" s="266" t="s">
        <v>1051</v>
      </c>
      <c r="O18" s="264"/>
      <c r="P18" s="265"/>
      <c r="Q18" s="266" t="s">
        <v>1052</v>
      </c>
      <c r="R18" s="264"/>
      <c r="S18" s="265"/>
      <c r="T18" s="266" t="s">
        <v>1053</v>
      </c>
      <c r="U18" s="264"/>
      <c r="V18" s="265"/>
      <c r="W18" s="9"/>
      <c r="X18" s="9"/>
      <c r="Y18" s="23"/>
    </row>
    <row r="19" spans="1:25" ht="141.75" customHeight="1" outlineLevel="2" x14ac:dyDescent="0.3">
      <c r="A19" s="1"/>
      <c r="B19" s="283"/>
      <c r="C19" s="283"/>
      <c r="D19" s="42" t="s">
        <v>257</v>
      </c>
      <c r="E19" s="307" t="s">
        <v>1054</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124</v>
      </c>
      <c r="F20" s="288"/>
      <c r="G20" s="288"/>
      <c r="H20" s="288"/>
      <c r="I20" s="288"/>
      <c r="J20" s="25"/>
      <c r="K20" s="266"/>
      <c r="L20" s="264"/>
      <c r="M20" s="265"/>
      <c r="N20" s="266"/>
      <c r="O20" s="264"/>
      <c r="P20" s="265"/>
      <c r="Q20" s="266"/>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537</v>
      </c>
      <c r="L21" s="264"/>
      <c r="M21" s="265"/>
      <c r="N21" s="266" t="s">
        <v>1055</v>
      </c>
      <c r="O21" s="264"/>
      <c r="P21" s="265"/>
      <c r="Q21" s="266" t="s">
        <v>1056</v>
      </c>
      <c r="R21" s="264"/>
      <c r="S21" s="265"/>
      <c r="T21" s="266" t="s">
        <v>1057</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3</v>
      </c>
      <c r="R24" s="40">
        <v>3</v>
      </c>
      <c r="S24" s="289"/>
      <c r="T24" s="56">
        <v>1</v>
      </c>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1058</v>
      </c>
      <c r="L26" s="45"/>
      <c r="M26" s="289"/>
      <c r="N26" s="58" t="s">
        <v>1059</v>
      </c>
      <c r="O26" s="45"/>
      <c r="P26" s="289"/>
      <c r="Q26" s="58" t="s">
        <v>1060</v>
      </c>
      <c r="R26" s="45"/>
      <c r="S26" s="289"/>
      <c r="T26" s="58" t="s">
        <v>1061</v>
      </c>
      <c r="U26" s="45" t="s">
        <v>1178</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 ref="M12:N12"/>
    <mergeCell ref="O12:P12"/>
    <mergeCell ref="K17:M17"/>
    <mergeCell ref="N17:P17"/>
    <mergeCell ref="K14:K15"/>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D15:I15"/>
    <mergeCell ref="B18:C21"/>
    <mergeCell ref="K18:M19"/>
    <mergeCell ref="N18:P19"/>
    <mergeCell ref="Q18:S19"/>
    <mergeCell ref="Q17:S17"/>
    <mergeCell ref="T18:V19"/>
    <mergeCell ref="E19:I19"/>
    <mergeCell ref="D20:D21"/>
    <mergeCell ref="E20:I21"/>
    <mergeCell ref="K20:M20"/>
    <mergeCell ref="N20:P20"/>
    <mergeCell ref="V24:V26"/>
    <mergeCell ref="G26:I26"/>
    <mergeCell ref="G27:I49"/>
    <mergeCell ref="Q20:S20"/>
    <mergeCell ref="T20:V20"/>
    <mergeCell ref="K21:M21"/>
    <mergeCell ref="N21:P21"/>
    <mergeCell ref="Q21:S21"/>
    <mergeCell ref="T21:V21"/>
    <mergeCell ref="F24:F49"/>
    <mergeCell ref="G24:I25"/>
    <mergeCell ref="M24:M26"/>
    <mergeCell ref="P24:P26"/>
    <mergeCell ref="S24:S26"/>
  </mergeCells>
  <conditionalFormatting sqref="D15:I15">
    <cfRule type="containsText" dxfId="63" priority="2" operator="containsText" text="Finalizado">
      <formula>NOT(ISERROR(SEARCH("Finalizado",D15)))</formula>
    </cfRule>
    <cfRule type="containsText" dxfId="62" priority="3" operator="containsText" text="No Planificado">
      <formula>NOT(ISERROR(SEARCH("No Planificado",D15)))</formula>
    </cfRule>
    <cfRule type="containsText" dxfId="61" priority="4" operator="containsText" text="A Tiempo">
      <formula>NOT(ISERROR(SEARCH("A Tiempo",D15)))</formula>
    </cfRule>
    <cfRule type="containsText" dxfId="60"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59" priority="20" operator="containsText" text="PENDIENTE">
      <formula>NOT(ISERROR(SEARCH("PENDIENTE",K25)))</formula>
    </cfRule>
    <cfRule type="containsText" dxfId="58" priority="21" operator="containsText" text="NO VALIDADO">
      <formula>NOT(ISERROR(SEARCH("NO VALIDADO",K25)))</formula>
    </cfRule>
    <cfRule type="containsText" dxfId="57" priority="22" operator="containsText" text="VALIDADO">
      <formula>NOT(ISERROR(SEARCH("VALIDADO",K25)))</formula>
    </cfRule>
  </conditionalFormatting>
  <conditionalFormatting sqref="N25:O25">
    <cfRule type="containsText" dxfId="56" priority="17" operator="containsText" text="PENDIENTE">
      <formula>NOT(ISERROR(SEARCH("PENDIENTE",N25)))</formula>
    </cfRule>
    <cfRule type="containsText" dxfId="55" priority="18" operator="containsText" text="NO VALIDADO">
      <formula>NOT(ISERROR(SEARCH("NO VALIDADO",N25)))</formula>
    </cfRule>
    <cfRule type="containsText" dxfId="54" priority="19" operator="containsText" text="VALIDADO">
      <formula>NOT(ISERROR(SEARCH("VALIDADO",N25)))</formula>
    </cfRule>
  </conditionalFormatting>
  <conditionalFormatting sqref="Q25:R25">
    <cfRule type="containsText" dxfId="53" priority="14" operator="containsText" text="PENDIENTE">
      <formula>NOT(ISERROR(SEARCH("PENDIENTE",Q25)))</formula>
    </cfRule>
    <cfRule type="containsText" dxfId="52" priority="15" operator="containsText" text="NO VALIDADO">
      <formula>NOT(ISERROR(SEARCH("NO VALIDADO",Q25)))</formula>
    </cfRule>
    <cfRule type="containsText" dxfId="51" priority="16" operator="containsText" text="VALIDADO">
      <formula>NOT(ISERROR(SEARCH("VALIDADO",Q25)))</formula>
    </cfRule>
  </conditionalFormatting>
  <conditionalFormatting sqref="T25:U25">
    <cfRule type="containsText" dxfId="50" priority="11" operator="containsText" text="PENDIENTE">
      <formula>NOT(ISERROR(SEARCH("PENDIENTE",T25)))</formula>
    </cfRule>
    <cfRule type="containsText" dxfId="49" priority="12" operator="containsText" text="NO VALIDADO">
      <formula>NOT(ISERROR(SEARCH("NO VALIDADO",T25)))</formula>
    </cfRule>
    <cfRule type="containsText" dxfId="48" priority="13" operator="containsText" text="VALIDADO">
      <formula>NOT(ISERROR(SEARCH("VALIDADO",T25)))</formula>
    </cfRule>
  </conditionalFormatting>
  <dataValidations count="6">
    <dataValidation type="list" allowBlank="1" showInputMessage="1" showErrorMessage="1" sqref="K14:K15 O14:O15 S14:S15" xr:uid="{B6A445F2-1556-4708-B3CD-0493713C9ABE}">
      <formula1>"No Iniciado, En Progreso,Finalizado"</formula1>
    </dataValidation>
    <dataValidation type="list" allowBlank="1" showInputMessage="1" showErrorMessage="1" sqref="M12 Q12 U12" xr:uid="{764810DE-CC86-416E-8158-5DD88C52C810}">
      <formula1>"Mayo,Junio,Julio,Agosto,Septiembre,Octubre"</formula1>
    </dataValidation>
    <dataValidation type="list" allowBlank="1" showInputMessage="1" showErrorMessage="1" sqref="AB14:AB15 R14:R15 N14:N15 V14:V15" xr:uid="{221D9184-6AAA-448E-BD12-8CD152532B7B}">
      <formula1>"No Cumple, Parcial, Cumple, Más que Cumple, Mejor Práctica"</formula1>
    </dataValidation>
    <dataValidation type="list" allowBlank="1" showInputMessage="1" showErrorMessage="1" sqref="O10" xr:uid="{2F127C64-5987-466B-A7EF-2DFBFCD33846}">
      <formula1>"Alta,Baja,No Planificado"</formula1>
    </dataValidation>
    <dataValidation type="list" allowBlank="1" showInputMessage="1" showErrorMessage="1" sqref="S10 Q10" xr:uid="{E0B9EEDD-1006-4575-A900-D706C1619179}">
      <formula1>"Junio,Julio,Agosto,Septiembre,Octubre"</formula1>
    </dataValidation>
    <dataValidation type="list" allowBlank="1" showInputMessage="1" showErrorMessage="1" sqref="D10" xr:uid="{C559FF94-58E1-43F8-BA5B-494043D74335}">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D6C8F5C1-39DA-45B7-ABC7-3418420E6E61}">
            <x14:iconSet iconSet="3Stars" showValue="0">
              <x14:cfvo type="percent">
                <xm:f>0</xm:f>
              </x14:cfvo>
              <x14:cfvo type="num">
                <xm:f>2</xm:f>
              </x14:cfvo>
              <x14:cfvo type="num">
                <xm:f>3</xm:f>
              </x14:cfvo>
            </x14:iconSet>
          </x14:cfRule>
          <xm:sqref>M10</xm:sqref>
        </x14:conditionalFormatting>
      </x14:conditionalFormattings>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A30D-7C60-4DD3-A1FD-C0D3C94FCA50}">
  <sheetPr codeName="Planilha74"/>
  <dimension ref="A1:AB51"/>
  <sheetViews>
    <sheetView showGridLines="0" zoomScale="50" zoomScaleNormal="50" workbookViewId="0">
      <pane xSplit="3" ySplit="4" topLeftCell="D17" activePane="bottomRight" state="frozen"/>
      <selection activeCell="C16" sqref="C16"/>
      <selection pane="topRight" activeCell="C16" sqref="C16"/>
      <selection pane="bottomLeft" activeCell="C16" sqref="C16"/>
      <selection pane="bottomRight"/>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1062</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Parcial</v>
      </c>
      <c r="E7" s="47">
        <f>IF($D7="Não cumpre",0,IF($D7="Parcial",$E$18*0.4,IF($D7="Cumpre",$E$18*0.7,IF($D7="Mais que cumpre",$E$18*0.85,IF($D7="Melhor Prática",$E$18,0)))))</f>
        <v>4.0000000000000001E-3</v>
      </c>
      <c r="F7" s="48">
        <f>IF($K$24&lt;&gt;"",IF($K$24=3,3,IF($K$24=2,2,1)),"")</f>
        <v>3</v>
      </c>
      <c r="G7" s="48">
        <f>IF($N$24&lt;&gt;"",IF($N$24=3,3,IF($N$24=2,2,1)),"")</f>
        <v>1</v>
      </c>
      <c r="H7" s="48">
        <f>IF($Q$24&lt;&gt;"",IF($Q$24=3,3,IF($Q$24=2,2,1)),"")</f>
        <v>3</v>
      </c>
      <c r="I7" s="48">
        <f>IF($T$24&lt;&gt;"",IF($T$24=3,3,IF($T$24=2,2,1)),"")</f>
        <v>1</v>
      </c>
      <c r="J7" s="32"/>
      <c r="K7" s="49" t="s">
        <v>224</v>
      </c>
      <c r="L7" s="46" t="s">
        <v>225</v>
      </c>
      <c r="M7" s="267" t="s">
        <v>1063</v>
      </c>
      <c r="N7" s="267"/>
      <c r="O7" s="267"/>
      <c r="P7" s="46" t="s">
        <v>227</v>
      </c>
      <c r="Q7" s="267" t="s">
        <v>1064</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8.5000000000000006E-3</v>
      </c>
      <c r="F10" s="52" t="str">
        <f>IF(K20="D","D","-")</f>
        <v>-</v>
      </c>
      <c r="G10" s="52" t="str">
        <f>IF(N20="D","D","-")</f>
        <v>D</v>
      </c>
      <c r="H10" s="52" t="str">
        <f>IF(Q20="D","D","-")</f>
        <v>D</v>
      </c>
      <c r="I10" s="52" t="str">
        <f>IF(T20="D","D","-")</f>
        <v>D</v>
      </c>
      <c r="J10" s="32"/>
      <c r="K10" s="66" t="s">
        <v>230</v>
      </c>
      <c r="L10" s="50" t="s">
        <v>231</v>
      </c>
      <c r="M10" s="75">
        <v>3</v>
      </c>
      <c r="N10" s="50" t="s">
        <v>232</v>
      </c>
      <c r="O10" s="53" t="s">
        <v>374</v>
      </c>
      <c r="P10" s="50" t="s">
        <v>233</v>
      </c>
      <c r="Q10" s="92" t="s">
        <v>286</v>
      </c>
      <c r="R10" s="50" t="s">
        <v>235</v>
      </c>
      <c r="S10" s="92" t="s">
        <v>303</v>
      </c>
      <c r="T10" s="50" t="s">
        <v>237</v>
      </c>
      <c r="U10" s="53" t="s">
        <v>1065</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Mais que cumpre</v>
      </c>
      <c r="E12" s="273">
        <f>IF($D12="Não cumpre",0,IF($D12="Parcial",$E$18*0.4,IF($D12="Cumpre",$E$18*0.7,IF($D12="Mais que cumpre",$E$18*0.85,IF($D12="Melhor Prática",$E$18,0)))))</f>
        <v>8.5000000000000006E-3</v>
      </c>
      <c r="F12" s="268">
        <f>IF($L$24&lt;&gt;"",IF($L$24=3,3,IF($L$24=2,2,1)),"")</f>
        <v>3</v>
      </c>
      <c r="G12" s="268">
        <f>IF($O$24&lt;&gt;"",IF($O$24=3,3,IF($O$24=2,2,1)),"")</f>
        <v>3</v>
      </c>
      <c r="H12" s="268">
        <f>IF($R$24&lt;&gt;"",IF($R$24=3,3,IF($R$24=2,2,1)),"")</f>
        <v>3</v>
      </c>
      <c r="I12" s="268" t="str">
        <f>IF($U$24&lt;&gt;"",IF($U$24=3,3,IF($U$24=2,2,1)),"")</f>
        <v/>
      </c>
      <c r="J12" s="32"/>
      <c r="K12" s="300" t="s">
        <v>240</v>
      </c>
      <c r="L12" s="274"/>
      <c r="M12" s="280" t="s">
        <v>321</v>
      </c>
      <c r="N12" s="299"/>
      <c r="O12" s="300" t="s">
        <v>240</v>
      </c>
      <c r="P12" s="274"/>
      <c r="Q12" s="280"/>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422</v>
      </c>
      <c r="O14" s="266"/>
      <c r="P14" s="286"/>
      <c r="Q14" s="286"/>
      <c r="R14" s="265"/>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A Tiempo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0.01</v>
      </c>
      <c r="F18" s="116"/>
      <c r="G18" s="116"/>
      <c r="H18" s="116"/>
      <c r="I18" s="116"/>
      <c r="J18" s="9"/>
      <c r="K18" s="266" t="s">
        <v>1066</v>
      </c>
      <c r="L18" s="264"/>
      <c r="M18" s="265"/>
      <c r="N18" s="266" t="s">
        <v>1067</v>
      </c>
      <c r="O18" s="264"/>
      <c r="P18" s="265"/>
      <c r="Q18" s="266" t="s">
        <v>1068</v>
      </c>
      <c r="R18" s="264"/>
      <c r="S18" s="265"/>
      <c r="T18" s="266" t="s">
        <v>1069</v>
      </c>
      <c r="U18" s="264"/>
      <c r="V18" s="265"/>
      <c r="W18" s="9"/>
      <c r="X18" s="9"/>
      <c r="Y18" s="23"/>
    </row>
    <row r="19" spans="1:25" ht="141.75" customHeight="1" outlineLevel="2" x14ac:dyDescent="0.3">
      <c r="A19" s="1"/>
      <c r="B19" s="283"/>
      <c r="C19" s="283"/>
      <c r="D19" s="42" t="s">
        <v>257</v>
      </c>
      <c r="E19" s="307" t="s">
        <v>1070</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176</v>
      </c>
      <c r="F20" s="288"/>
      <c r="G20" s="288"/>
      <c r="H20" s="288"/>
      <c r="I20" s="288"/>
      <c r="J20" s="25"/>
      <c r="K20" s="266"/>
      <c r="L20" s="264"/>
      <c r="M20" s="265"/>
      <c r="N20" s="266" t="s">
        <v>260</v>
      </c>
      <c r="O20" s="264"/>
      <c r="P20" s="265"/>
      <c r="Q20" s="266" t="s">
        <v>260</v>
      </c>
      <c r="R20" s="264"/>
      <c r="S20" s="265"/>
      <c r="T20" s="266" t="s">
        <v>260</v>
      </c>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551</v>
      </c>
      <c r="L21" s="264"/>
      <c r="M21" s="265"/>
      <c r="N21" s="266" t="s">
        <v>313</v>
      </c>
      <c r="O21" s="264"/>
      <c r="P21" s="265"/>
      <c r="Q21" s="266" t="s">
        <v>313</v>
      </c>
      <c r="R21" s="264"/>
      <c r="S21" s="265"/>
      <c r="T21" s="266" t="s">
        <v>473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1</v>
      </c>
      <c r="O24" s="40">
        <v>3</v>
      </c>
      <c r="P24" s="289"/>
      <c r="Q24" s="56">
        <v>3</v>
      </c>
      <c r="R24" s="40">
        <v>3</v>
      </c>
      <c r="S24" s="289"/>
      <c r="T24" s="56">
        <v>1</v>
      </c>
      <c r="U24" s="40"/>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c r="L26" s="45"/>
      <c r="M26" s="289"/>
      <c r="N26" s="58" t="s">
        <v>1071</v>
      </c>
      <c r="O26" s="45" t="s">
        <v>1179</v>
      </c>
      <c r="P26" s="289"/>
      <c r="Q26" s="58" t="s">
        <v>1063</v>
      </c>
      <c r="R26" s="45" t="s">
        <v>1180</v>
      </c>
      <c r="S26" s="289"/>
      <c r="T26" s="58"/>
      <c r="U26" s="45"/>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 ref="M12:N12"/>
    <mergeCell ref="O12:P12"/>
    <mergeCell ref="K17:M17"/>
    <mergeCell ref="N17:P17"/>
    <mergeCell ref="K14:K15"/>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D15:I15"/>
    <mergeCell ref="B18:C21"/>
    <mergeCell ref="K18:M19"/>
    <mergeCell ref="N18:P19"/>
    <mergeCell ref="Q18:S19"/>
    <mergeCell ref="Q17:S17"/>
    <mergeCell ref="T18:V19"/>
    <mergeCell ref="E19:I19"/>
    <mergeCell ref="D20:D21"/>
    <mergeCell ref="E20:I21"/>
    <mergeCell ref="K20:M20"/>
    <mergeCell ref="N20:P20"/>
    <mergeCell ref="V24:V26"/>
    <mergeCell ref="G26:I26"/>
    <mergeCell ref="G27:I49"/>
    <mergeCell ref="Q20:S20"/>
    <mergeCell ref="T20:V20"/>
    <mergeCell ref="K21:M21"/>
    <mergeCell ref="N21:P21"/>
    <mergeCell ref="Q21:S21"/>
    <mergeCell ref="T21:V21"/>
    <mergeCell ref="F24:F49"/>
    <mergeCell ref="G24:I25"/>
    <mergeCell ref="M24:M26"/>
    <mergeCell ref="P24:P26"/>
    <mergeCell ref="S24:S26"/>
  </mergeCells>
  <conditionalFormatting sqref="D15:I15">
    <cfRule type="containsText" dxfId="47" priority="2" operator="containsText" text="Finalizado">
      <formula>NOT(ISERROR(SEARCH("Finalizado",D15)))</formula>
    </cfRule>
    <cfRule type="containsText" dxfId="46" priority="3" operator="containsText" text="No Planificado">
      <formula>NOT(ISERROR(SEARCH("No Planificado",D15)))</formula>
    </cfRule>
    <cfRule type="containsText" dxfId="45" priority="4" operator="containsText" text="A Tiempo">
      <formula>NOT(ISERROR(SEARCH("A Tiempo",D15)))</formula>
    </cfRule>
    <cfRule type="containsText" dxfId="44"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43" priority="20" operator="containsText" text="PENDIENTE">
      <formula>NOT(ISERROR(SEARCH("PENDIENTE",K25)))</formula>
    </cfRule>
    <cfRule type="containsText" dxfId="42" priority="21" operator="containsText" text="NO VALIDADO">
      <formula>NOT(ISERROR(SEARCH("NO VALIDADO",K25)))</formula>
    </cfRule>
    <cfRule type="containsText" dxfId="41" priority="22" operator="containsText" text="VALIDADO">
      <formula>NOT(ISERROR(SEARCH("VALIDADO",K25)))</formula>
    </cfRule>
  </conditionalFormatting>
  <conditionalFormatting sqref="N25:O25">
    <cfRule type="containsText" dxfId="40" priority="17" operator="containsText" text="PENDIENTE">
      <formula>NOT(ISERROR(SEARCH("PENDIENTE",N25)))</formula>
    </cfRule>
    <cfRule type="containsText" dxfId="39" priority="18" operator="containsText" text="NO VALIDADO">
      <formula>NOT(ISERROR(SEARCH("NO VALIDADO",N25)))</formula>
    </cfRule>
    <cfRule type="containsText" dxfId="38" priority="19" operator="containsText" text="VALIDADO">
      <formula>NOT(ISERROR(SEARCH("VALIDADO",N25)))</formula>
    </cfRule>
  </conditionalFormatting>
  <conditionalFormatting sqref="Q25:R25">
    <cfRule type="containsText" dxfId="37" priority="14" operator="containsText" text="PENDIENTE">
      <formula>NOT(ISERROR(SEARCH("PENDIENTE",Q25)))</formula>
    </cfRule>
    <cfRule type="containsText" dxfId="36" priority="15" operator="containsText" text="NO VALIDADO">
      <formula>NOT(ISERROR(SEARCH("NO VALIDADO",Q25)))</formula>
    </cfRule>
    <cfRule type="containsText" dxfId="35" priority="16" operator="containsText" text="VALIDADO">
      <formula>NOT(ISERROR(SEARCH("VALIDADO",Q25)))</formula>
    </cfRule>
  </conditionalFormatting>
  <conditionalFormatting sqref="T25:U25">
    <cfRule type="containsText" dxfId="34" priority="11" operator="containsText" text="PENDIENTE">
      <formula>NOT(ISERROR(SEARCH("PENDIENTE",T25)))</formula>
    </cfRule>
    <cfRule type="containsText" dxfId="33" priority="12" operator="containsText" text="NO VALIDADO">
      <formula>NOT(ISERROR(SEARCH("NO VALIDADO",T25)))</formula>
    </cfRule>
    <cfRule type="containsText" dxfId="32" priority="13" operator="containsText" text="VALIDADO">
      <formula>NOT(ISERROR(SEARCH("VALIDADO",T25)))</formula>
    </cfRule>
  </conditionalFormatting>
  <dataValidations count="6">
    <dataValidation type="list" allowBlank="1" showInputMessage="1" showErrorMessage="1" sqref="D10" xr:uid="{3DB06F20-7658-405F-A0AF-683D323D7EE8}">
      <formula1>"No Cumple, Parcial,Cumple,Más que Cumple,Mejor Práctica"</formula1>
    </dataValidation>
    <dataValidation type="list" allowBlank="1" showInputMessage="1" showErrorMessage="1" sqref="S10 Q10" xr:uid="{11233A58-33B9-4DD2-A4D2-21E963D210C7}">
      <formula1>"Junio,Julio,Agosto,Septiembre,Octubre"</formula1>
    </dataValidation>
    <dataValidation type="list" allowBlank="1" showInputMessage="1" showErrorMessage="1" sqref="O10" xr:uid="{4B824D21-F637-4FB8-AE32-86D282004128}">
      <formula1>"Alta,Baja,No Planificado"</formula1>
    </dataValidation>
    <dataValidation type="list" allowBlank="1" showInputMessage="1" showErrorMessage="1" sqref="AB14:AB15 R14:R15 N14:N15 V14:V15" xr:uid="{87071AD4-E8A3-4416-8CEC-CE040B912AD4}">
      <formula1>"No Cumple, Parcial, Cumple, Más que Cumple, Mejor Práctica"</formula1>
    </dataValidation>
    <dataValidation type="list" allowBlank="1" showInputMessage="1" showErrorMessage="1" sqref="M12 Q12 U12" xr:uid="{6C52E351-C851-4B7D-9A0F-9AE4C07C0A4A}">
      <formula1>"Mayo,Junio,Julio,Agosto,Septiembre,Octubre"</formula1>
    </dataValidation>
    <dataValidation type="list" allowBlank="1" showInputMessage="1" showErrorMessage="1" sqref="K14:K15 O14:O15 S14:S15" xr:uid="{A3CE6A32-41B0-41CC-841C-2CCBF6B6F057}">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353E0242-804E-4022-9975-42717F41EAA3}">
            <x14:iconSet iconSet="3Stars" showValue="0">
              <x14:cfvo type="percent">
                <xm:f>0</xm:f>
              </x14:cfvo>
              <x14:cfvo type="num">
                <xm:f>2</xm:f>
              </x14:cfvo>
              <x14:cfvo type="num">
                <xm:f>3</xm:f>
              </x14:cfvo>
            </x14:iconSet>
          </x14:cfRule>
          <xm:sqref>M10</xm:sqref>
        </x14:conditionalFormatting>
      </x14:conditionalFormattings>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5152F-44F4-4477-9C03-BB2D2B27B736}">
  <sheetPr codeName="Planilha75"/>
  <dimension ref="A1:AB51"/>
  <sheetViews>
    <sheetView showGridLines="0" zoomScale="50" zoomScaleNormal="50" workbookViewId="0">
      <pane xSplit="3" ySplit="4" topLeftCell="D18" activePane="bottomRight" state="frozen"/>
      <selection activeCell="C16" sqref="C16"/>
      <selection pane="topRight" activeCell="C16" sqref="C16"/>
      <selection pane="bottomLeft" activeCell="C16" sqref="C16"/>
      <selection pane="bottomRight" activeCell="T18" sqref="T18:V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1072</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Não cumpre</v>
      </c>
      <c r="E7" s="47">
        <f>IF($D7="Não cumpre",0,IF($D7="Parcial",$E$18*0.4,IF($D7="Cumpre",$E$18*0.7,IF($D7="Mais que cumpre",$E$18*0.85,IF($D7="Melhor Prática",$E$18,0)))))</f>
        <v>0</v>
      </c>
      <c r="F7" s="48">
        <f>IF($K$24&lt;&gt;"",IF($K$24=3,3,IF($K$24=2,2,1)),"")</f>
        <v>1</v>
      </c>
      <c r="G7" s="48">
        <f>IF($N$24&lt;&gt;"",IF($N$24=3,3,IF($N$24=2,2,1)),"")</f>
        <v>1</v>
      </c>
      <c r="H7" s="48">
        <f>IF($Q$24&lt;&gt;"",IF($Q$24=3,3,IF($Q$24=2,2,1)),"")</f>
        <v>1</v>
      </c>
      <c r="I7" s="48" t="str">
        <f>IF($T$24&lt;&gt;"",IF($T$24=3,3,IF($T$24=2,2,1)),"")</f>
        <v/>
      </c>
      <c r="J7" s="32"/>
      <c r="K7" s="49" t="s">
        <v>224</v>
      </c>
      <c r="L7" s="46" t="s">
        <v>225</v>
      </c>
      <c r="M7" s="267" t="s">
        <v>1073</v>
      </c>
      <c r="N7" s="267"/>
      <c r="O7" s="267"/>
      <c r="P7" s="46" t="s">
        <v>227</v>
      </c>
      <c r="Q7" s="267" t="s">
        <v>1074</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8.5000000000000006E-3</v>
      </c>
      <c r="F10" s="52" t="str">
        <f>IF(K20="D","D","-")</f>
        <v>-</v>
      </c>
      <c r="G10" s="52" t="str">
        <f>IF(N20="D","D","-")</f>
        <v>-</v>
      </c>
      <c r="H10" s="52" t="str">
        <f>IF(Q20="D","D","-")</f>
        <v>D</v>
      </c>
      <c r="I10" s="52" t="str">
        <f>IF(T20="D","D","-")</f>
        <v>-</v>
      </c>
      <c r="J10" s="32"/>
      <c r="K10" s="66" t="s">
        <v>230</v>
      </c>
      <c r="L10" s="50" t="s">
        <v>231</v>
      </c>
      <c r="M10" s="75">
        <v>2</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0.01</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305</v>
      </c>
      <c r="O14" s="266" t="s">
        <v>247</v>
      </c>
      <c r="P14" s="286" t="s">
        <v>323</v>
      </c>
      <c r="Q14" s="286"/>
      <c r="R14" s="265" t="s">
        <v>305</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Retrasado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BC</v>
      </c>
      <c r="F16" s="87"/>
      <c r="G16" s="87"/>
      <c r="H16" s="87" t="s">
        <v>250</v>
      </c>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0.01</v>
      </c>
      <c r="F18" s="116"/>
      <c r="G18" s="116"/>
      <c r="H18" s="116"/>
      <c r="I18" s="116"/>
      <c r="J18" s="9"/>
      <c r="K18" s="266" t="s">
        <v>1075</v>
      </c>
      <c r="L18" s="264"/>
      <c r="M18" s="265"/>
      <c r="N18" s="266" t="s">
        <v>1076</v>
      </c>
      <c r="O18" s="264"/>
      <c r="P18" s="265"/>
      <c r="Q18" s="266" t="s">
        <v>1077</v>
      </c>
      <c r="R18" s="264"/>
      <c r="S18" s="265"/>
      <c r="T18" s="266" t="s">
        <v>1078</v>
      </c>
      <c r="U18" s="264"/>
      <c r="V18" s="265"/>
      <c r="W18" s="9"/>
      <c r="X18" s="9"/>
      <c r="Y18" s="23"/>
    </row>
    <row r="19" spans="1:25" ht="141.75" customHeight="1" outlineLevel="2" x14ac:dyDescent="0.3">
      <c r="A19" s="1"/>
      <c r="B19" s="283"/>
      <c r="C19" s="283"/>
      <c r="D19" s="42" t="s">
        <v>257</v>
      </c>
      <c r="E19" s="307" t="s">
        <v>1079</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105</v>
      </c>
      <c r="F20" s="288"/>
      <c r="G20" s="288"/>
      <c r="H20" s="288"/>
      <c r="I20" s="288"/>
      <c r="J20" s="25"/>
      <c r="K20" s="266"/>
      <c r="L20" s="264"/>
      <c r="M20" s="265"/>
      <c r="N20" s="266"/>
      <c r="O20" s="264"/>
      <c r="P20" s="265"/>
      <c r="Q20" s="266" t="s">
        <v>260</v>
      </c>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926</v>
      </c>
      <c r="L21" s="264"/>
      <c r="M21" s="265"/>
      <c r="N21" s="266" t="s">
        <v>575</v>
      </c>
      <c r="O21" s="264"/>
      <c r="P21" s="265"/>
      <c r="Q21" s="266" t="s">
        <v>1080</v>
      </c>
      <c r="R21" s="264"/>
      <c r="S21" s="265"/>
      <c r="T21" s="266" t="s">
        <v>383</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1</v>
      </c>
      <c r="L24" s="40">
        <v>3</v>
      </c>
      <c r="M24" s="289"/>
      <c r="N24" s="56">
        <v>1</v>
      </c>
      <c r="O24" s="40">
        <v>3</v>
      </c>
      <c r="P24" s="289"/>
      <c r="Q24" s="56">
        <v>1</v>
      </c>
      <c r="R24" s="40">
        <v>3</v>
      </c>
      <c r="S24" s="289"/>
      <c r="T24" s="56"/>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t="s">
        <v>1081</v>
      </c>
      <c r="L26" s="45" t="s">
        <v>1082</v>
      </c>
      <c r="M26" s="289"/>
      <c r="N26" s="58" t="s">
        <v>1071</v>
      </c>
      <c r="O26" s="45" t="s">
        <v>1083</v>
      </c>
      <c r="P26" s="289"/>
      <c r="Q26" s="58" t="s">
        <v>1084</v>
      </c>
      <c r="R26" s="45" t="s">
        <v>1181</v>
      </c>
      <c r="S26" s="289"/>
      <c r="T26" s="58" t="s">
        <v>1085</v>
      </c>
      <c r="U26" s="45" t="s">
        <v>1206</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 ref="M12:N12"/>
    <mergeCell ref="O12:P12"/>
    <mergeCell ref="K17:M17"/>
    <mergeCell ref="N17:P17"/>
    <mergeCell ref="K14:K15"/>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D15:I15"/>
    <mergeCell ref="B18:C21"/>
    <mergeCell ref="K18:M19"/>
    <mergeCell ref="N18:P19"/>
    <mergeCell ref="Q18:S19"/>
    <mergeCell ref="Q17:S17"/>
    <mergeCell ref="T18:V19"/>
    <mergeCell ref="E19:I19"/>
    <mergeCell ref="D20:D21"/>
    <mergeCell ref="E20:I21"/>
    <mergeCell ref="K20:M20"/>
    <mergeCell ref="N20:P20"/>
    <mergeCell ref="V24:V26"/>
    <mergeCell ref="G26:I26"/>
    <mergeCell ref="G27:I49"/>
    <mergeCell ref="Q20:S20"/>
    <mergeCell ref="T20:V20"/>
    <mergeCell ref="K21:M21"/>
    <mergeCell ref="N21:P21"/>
    <mergeCell ref="Q21:S21"/>
    <mergeCell ref="T21:V21"/>
    <mergeCell ref="F24:F49"/>
    <mergeCell ref="G24:I25"/>
    <mergeCell ref="M24:M26"/>
    <mergeCell ref="P24:P26"/>
    <mergeCell ref="S24:S26"/>
  </mergeCells>
  <conditionalFormatting sqref="D15:I15">
    <cfRule type="containsText" dxfId="31" priority="2" operator="containsText" text="Finalizado">
      <formula>NOT(ISERROR(SEARCH("Finalizado",D15)))</formula>
    </cfRule>
    <cfRule type="containsText" dxfId="30" priority="3" operator="containsText" text="No Planificado">
      <formula>NOT(ISERROR(SEARCH("No Planificado",D15)))</formula>
    </cfRule>
    <cfRule type="containsText" dxfId="29" priority="4" operator="containsText" text="A Tiempo">
      <formula>NOT(ISERROR(SEARCH("A Tiempo",D15)))</formula>
    </cfRule>
    <cfRule type="containsText" dxfId="28"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27" priority="20" operator="containsText" text="PENDIENTE">
      <formula>NOT(ISERROR(SEARCH("PENDIENTE",K25)))</formula>
    </cfRule>
    <cfRule type="containsText" dxfId="26" priority="21" operator="containsText" text="NO VALIDADO">
      <formula>NOT(ISERROR(SEARCH("NO VALIDADO",K25)))</formula>
    </cfRule>
    <cfRule type="containsText" dxfId="25" priority="22" operator="containsText" text="VALIDADO">
      <formula>NOT(ISERROR(SEARCH("VALIDADO",K25)))</formula>
    </cfRule>
  </conditionalFormatting>
  <conditionalFormatting sqref="N25:O25">
    <cfRule type="containsText" dxfId="24" priority="17" operator="containsText" text="PENDIENTE">
      <formula>NOT(ISERROR(SEARCH("PENDIENTE",N25)))</formula>
    </cfRule>
    <cfRule type="containsText" dxfId="23" priority="18" operator="containsText" text="NO VALIDADO">
      <formula>NOT(ISERROR(SEARCH("NO VALIDADO",N25)))</formula>
    </cfRule>
    <cfRule type="containsText" dxfId="22" priority="19" operator="containsText" text="VALIDADO">
      <formula>NOT(ISERROR(SEARCH("VALIDADO",N25)))</formula>
    </cfRule>
  </conditionalFormatting>
  <conditionalFormatting sqref="Q25:R25">
    <cfRule type="containsText" dxfId="21" priority="14" operator="containsText" text="PENDIENTE">
      <formula>NOT(ISERROR(SEARCH("PENDIENTE",Q25)))</formula>
    </cfRule>
    <cfRule type="containsText" dxfId="20" priority="15" operator="containsText" text="NO VALIDADO">
      <formula>NOT(ISERROR(SEARCH("NO VALIDADO",Q25)))</formula>
    </cfRule>
    <cfRule type="containsText" dxfId="19" priority="16" operator="containsText" text="VALIDADO">
      <formula>NOT(ISERROR(SEARCH("VALIDADO",Q25)))</formula>
    </cfRule>
  </conditionalFormatting>
  <conditionalFormatting sqref="T25:U25">
    <cfRule type="containsText" dxfId="18" priority="11" operator="containsText" text="PENDIENTE">
      <formula>NOT(ISERROR(SEARCH("PENDIENTE",T25)))</formula>
    </cfRule>
    <cfRule type="containsText" dxfId="17" priority="12" operator="containsText" text="NO VALIDADO">
      <formula>NOT(ISERROR(SEARCH("NO VALIDADO",T25)))</formula>
    </cfRule>
    <cfRule type="containsText" dxfId="16" priority="13" operator="containsText" text="VALIDADO">
      <formula>NOT(ISERROR(SEARCH("VALIDADO",T25)))</formula>
    </cfRule>
  </conditionalFormatting>
  <dataValidations count="6">
    <dataValidation type="list" allowBlank="1" showInputMessage="1" showErrorMessage="1" sqref="K14:K15 O14:O15 S14:S15" xr:uid="{91AC5B18-B288-4A4E-9D30-B24E30E0241E}">
      <formula1>"No Iniciado, En Progreso,Finalizado"</formula1>
    </dataValidation>
    <dataValidation type="list" allowBlank="1" showInputMessage="1" showErrorMessage="1" sqref="M12 Q12 U12" xr:uid="{DFAEC26B-64AA-4BAA-8739-93E838267E13}">
      <formula1>"Mayo,Junio,Julio,Agosto,Septiembre,Octubre"</formula1>
    </dataValidation>
    <dataValidation type="list" allowBlank="1" showInputMessage="1" showErrorMessage="1" sqref="AB14:AB15 R14:R15 N14:N15 V14:V15" xr:uid="{62918F33-5CDE-47BC-90D9-99761AFE02B5}">
      <formula1>"No Cumple, Parcial, Cumple, Más que Cumple, Mejor Práctica"</formula1>
    </dataValidation>
    <dataValidation type="list" allowBlank="1" showInputMessage="1" showErrorMessage="1" sqref="O10" xr:uid="{2E7EFD1D-E9A1-4DF4-9121-D6E75F560178}">
      <formula1>"Alta,Baja,No Planificado"</formula1>
    </dataValidation>
    <dataValidation type="list" allowBlank="1" showInputMessage="1" showErrorMessage="1" sqref="S10 Q10" xr:uid="{8EE222BC-1B8F-412F-8012-CDFB0BF3FD58}">
      <formula1>"Junio,Julio,Agosto,Septiembre,Octubre"</formula1>
    </dataValidation>
    <dataValidation type="list" allowBlank="1" showInputMessage="1" showErrorMessage="1" sqref="D10" xr:uid="{4F32A318-76AE-4FEC-905A-0B86204AA7F5}">
      <formula1>"No Cumple, Parcial,Cumple,Más que Cumple,Mejor Práctica"</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2CCF14E6-0EE1-4B72-A0D6-C1B84E27CFDA}">
            <x14:iconSet iconSet="3Stars" showValue="0">
              <x14:cfvo type="percent">
                <xm:f>0</xm:f>
              </x14:cfvo>
              <x14:cfvo type="num">
                <xm:f>2</xm:f>
              </x14:cfvo>
              <x14:cfvo type="num">
                <xm:f>3</xm:f>
              </x14:cfvo>
            </x14:iconSet>
          </x14:cfRule>
          <xm:sqref>M10</xm:sqref>
        </x14:conditionalFormatting>
      </x14:conditionalFormattings>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1852-B96A-41E7-A197-D27F554FFCFF}">
  <sheetPr codeName="Planilha76"/>
  <dimension ref="A1:AB51"/>
  <sheetViews>
    <sheetView showGridLines="0" zoomScale="50" zoomScaleNormal="50" workbookViewId="0">
      <pane xSplit="3" ySplit="4" topLeftCell="D15" activePane="bottomRight" state="frozen"/>
      <selection activeCell="C16" sqref="C16"/>
      <selection pane="topRight" activeCell="C16" sqref="C16"/>
      <selection pane="bottomLeft" activeCell="C16" sqref="C16"/>
      <selection pane="bottomRight" activeCell="T18" sqref="T18:V19"/>
    </sheetView>
  </sheetViews>
  <sheetFormatPr defaultColWidth="0" defaultRowHeight="15" customHeight="1" zeroHeight="1" outlineLevelRow="2" outlineLevelCol="1" x14ac:dyDescent="0.25"/>
  <cols>
    <col min="1" max="1" width="1.28515625" customWidth="1"/>
    <col min="2" max="2" width="4.7109375" customWidth="1"/>
    <col min="3" max="3" width="20.140625" customWidth="1"/>
    <col min="4" max="4" width="17.42578125" customWidth="1" outlineLevel="1"/>
    <col min="5" max="5" width="10" customWidth="1" outlineLevel="1"/>
    <col min="6" max="8" width="6.140625" customWidth="1" outlineLevel="1"/>
    <col min="9" max="9" width="6.28515625" customWidth="1" outlineLevel="1"/>
    <col min="10" max="10" width="2.140625" customWidth="1"/>
    <col min="11" max="23" width="23" customWidth="1"/>
    <col min="24" max="24" width="17" hidden="1" customWidth="1"/>
    <col min="25" max="25" width="16.42578125" hidden="1" customWidth="1"/>
    <col min="26" max="26" width="10.5703125" hidden="1" customWidth="1"/>
    <col min="27" max="27" width="16.85546875" hidden="1" customWidth="1"/>
    <col min="28" max="28" width="14.5703125" hidden="1" customWidth="1"/>
  </cols>
  <sheetData>
    <row r="1" spans="1:28"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9"/>
      <c r="Z1" s="19"/>
      <c r="AA1" s="19"/>
    </row>
    <row r="2" spans="1:28" ht="43.5" customHeight="1" x14ac:dyDescent="0.35">
      <c r="A2" s="1"/>
      <c r="C2" s="11"/>
      <c r="D2" s="275" t="s">
        <v>0</v>
      </c>
      <c r="E2" s="275"/>
      <c r="F2" s="275"/>
      <c r="G2" s="275"/>
      <c r="H2" s="275"/>
      <c r="I2" s="275"/>
      <c r="J2" s="62"/>
      <c r="K2" s="62"/>
      <c r="L2" s="62"/>
      <c r="M2" s="62"/>
      <c r="N2" s="62"/>
      <c r="O2" s="62"/>
      <c r="P2" s="62"/>
      <c r="Q2" s="62"/>
      <c r="R2" s="62"/>
      <c r="S2" s="62"/>
      <c r="T2" s="62"/>
      <c r="U2" s="62"/>
      <c r="V2" s="62"/>
      <c r="W2" s="11"/>
      <c r="X2" s="11"/>
      <c r="Y2" s="20"/>
      <c r="Z2" s="20"/>
      <c r="AA2" s="20"/>
    </row>
    <row r="3" spans="1:28" ht="19.5" customHeight="1" x14ac:dyDescent="0.25">
      <c r="A3" s="1"/>
      <c r="C3" s="10"/>
      <c r="D3" s="276" t="s">
        <v>1</v>
      </c>
      <c r="E3" s="276"/>
      <c r="F3" s="276"/>
      <c r="G3" s="276"/>
      <c r="H3" s="276"/>
      <c r="I3" s="276"/>
      <c r="J3" s="63"/>
      <c r="K3" s="316" t="s">
        <v>1086</v>
      </c>
      <c r="L3" s="316"/>
      <c r="M3" s="316"/>
      <c r="N3" s="316"/>
      <c r="O3" s="316"/>
      <c r="P3" s="316"/>
      <c r="Q3" s="316"/>
      <c r="R3" s="316"/>
      <c r="S3" s="316"/>
      <c r="T3" s="63"/>
      <c r="U3" s="63"/>
      <c r="V3" s="63"/>
      <c r="W3" s="10"/>
      <c r="X3" s="10"/>
      <c r="Y3" s="12"/>
      <c r="Z3" s="12"/>
      <c r="AA3" s="12"/>
    </row>
    <row r="4" spans="1:28" ht="35.25" customHeight="1" x14ac:dyDescent="0.25">
      <c r="A4" s="1"/>
      <c r="B4" s="1"/>
      <c r="C4" s="10"/>
      <c r="D4" s="277"/>
      <c r="E4" s="277"/>
      <c r="F4" s="277"/>
      <c r="G4" s="277"/>
      <c r="H4" s="277"/>
      <c r="I4" s="277"/>
      <c r="J4" s="61"/>
      <c r="K4" s="317"/>
      <c r="L4" s="317"/>
      <c r="M4" s="317"/>
      <c r="N4" s="317"/>
      <c r="O4" s="317"/>
      <c r="P4" s="317"/>
      <c r="Q4" s="317"/>
      <c r="R4" s="317"/>
      <c r="S4" s="317"/>
      <c r="T4" s="61"/>
      <c r="U4" s="61"/>
      <c r="V4" s="61"/>
      <c r="W4" s="61"/>
      <c r="X4" s="14"/>
      <c r="Y4" s="21"/>
      <c r="Z4" s="22"/>
      <c r="AA4" s="22"/>
    </row>
    <row r="5" spans="1:28" ht="33" x14ac:dyDescent="0.45">
      <c r="A5" s="1"/>
      <c r="B5" s="15"/>
      <c r="C5" s="13"/>
      <c r="D5" s="237" t="s">
        <v>220</v>
      </c>
      <c r="E5" s="237"/>
      <c r="F5" s="237"/>
      <c r="G5" s="237"/>
      <c r="H5" s="237"/>
      <c r="I5" s="237"/>
      <c r="J5" s="26"/>
      <c r="K5" s="237" t="s">
        <v>221</v>
      </c>
      <c r="L5" s="237"/>
      <c r="M5" s="237"/>
      <c r="N5" s="237"/>
      <c r="O5" s="237"/>
      <c r="P5" s="237"/>
      <c r="Q5" s="237"/>
      <c r="R5" s="237"/>
      <c r="S5" s="27"/>
      <c r="T5" s="25"/>
      <c r="U5" s="25"/>
      <c r="V5" s="25"/>
      <c r="W5" s="9"/>
      <c r="X5" s="9"/>
      <c r="Y5" s="23"/>
    </row>
    <row r="6" spans="1:28" ht="33" customHeight="1" x14ac:dyDescent="0.55000000000000004">
      <c r="A6" s="1"/>
      <c r="B6" s="15"/>
      <c r="C6" s="15"/>
      <c r="D6" s="28" t="s">
        <v>193</v>
      </c>
      <c r="E6" s="28" t="s">
        <v>53</v>
      </c>
      <c r="F6" s="28" t="s">
        <v>56</v>
      </c>
      <c r="G6" s="28" t="s">
        <v>57</v>
      </c>
      <c r="H6" s="28" t="s">
        <v>58</v>
      </c>
      <c r="I6" s="28" t="s">
        <v>59</v>
      </c>
      <c r="J6" s="29"/>
      <c r="K6" s="44" t="s">
        <v>222</v>
      </c>
      <c r="L6" s="67"/>
      <c r="M6" s="30"/>
      <c r="N6" s="30"/>
      <c r="O6" s="30"/>
      <c r="P6" s="30"/>
      <c r="Q6" s="30"/>
      <c r="R6" s="31"/>
      <c r="S6" s="31"/>
      <c r="T6" s="25"/>
      <c r="U6" s="25"/>
      <c r="V6" s="25"/>
      <c r="W6" s="9"/>
      <c r="X6" s="9"/>
      <c r="Y6" s="23"/>
    </row>
    <row r="7" spans="1:28" ht="78" customHeight="1" outlineLevel="1" x14ac:dyDescent="0.3">
      <c r="A7" s="1"/>
      <c r="B7" s="263" t="s">
        <v>223</v>
      </c>
      <c r="C7" s="263"/>
      <c r="D7" s="68" t="str">
        <f>IF(F7="","",IF(AND(I7=3,H7=3,G7=3,F7=3),"Melhor Prática",
IF(AND(H7=3,G7=3,F7=3),"Mais que cumpre",
IF(AND(G7=3,F7=3),"Cumpre",
IF(F7=3,"Parcial","Não cumpre")))))</f>
        <v>Cumpre</v>
      </c>
      <c r="E7" s="47">
        <f>IF($D7="Não cumpre",0,IF($D7="Parcial",$E$18*0.4,IF($D7="Cumpre",$E$18*0.7,IF($D7="Mais que cumpre",$E$18*0.85,IF($D7="Melhor Prática",$E$18,0)))))</f>
        <v>3.4999999999999996E-3</v>
      </c>
      <c r="F7" s="48">
        <f>IF($K$24&lt;&gt;"",IF($K$24=3,3,IF($K$24=2,2,1)),"")</f>
        <v>3</v>
      </c>
      <c r="G7" s="48">
        <f>IF($N$24&lt;&gt;"",IF($N$24=3,3,IF($N$24=2,2,1)),"")</f>
        <v>3</v>
      </c>
      <c r="H7" s="48">
        <f>IF($Q$24&lt;&gt;"",IF($Q$24=3,3,IF($Q$24=2,2,1)),"")</f>
        <v>1</v>
      </c>
      <c r="I7" s="48" t="str">
        <f>IF($T$24&lt;&gt;"",IF($T$24=3,3,IF($T$24=2,2,1)),"")</f>
        <v/>
      </c>
      <c r="J7" s="32"/>
      <c r="K7" s="49" t="s">
        <v>224</v>
      </c>
      <c r="L7" s="46" t="s">
        <v>225</v>
      </c>
      <c r="M7" s="267" t="s">
        <v>1087</v>
      </c>
      <c r="N7" s="267"/>
      <c r="O7" s="267"/>
      <c r="P7" s="46" t="s">
        <v>227</v>
      </c>
      <c r="Q7" s="267" t="s">
        <v>1088</v>
      </c>
      <c r="R7" s="267"/>
      <c r="S7" s="267"/>
      <c r="U7" s="25"/>
      <c r="V7" s="25"/>
      <c r="W7" s="9"/>
      <c r="X7" s="9"/>
      <c r="Y7" s="23"/>
    </row>
    <row r="8" spans="1:28" ht="14.25" customHeight="1" outlineLevel="1" x14ac:dyDescent="0.3">
      <c r="A8" s="1"/>
      <c r="B8" s="65"/>
      <c r="C8" s="65"/>
      <c r="D8" s="68"/>
      <c r="E8" s="47"/>
      <c r="F8" s="48"/>
      <c r="G8" s="48"/>
      <c r="H8" s="48"/>
      <c r="I8" s="48"/>
      <c r="J8" s="32"/>
      <c r="K8" s="49"/>
      <c r="L8" s="46"/>
      <c r="M8" s="267"/>
      <c r="N8" s="267"/>
      <c r="O8" s="267"/>
      <c r="P8" s="46"/>
      <c r="Q8" s="267"/>
      <c r="R8" s="267"/>
      <c r="S8" s="267"/>
      <c r="U8" s="25"/>
      <c r="V8" s="25"/>
      <c r="W8" s="9"/>
      <c r="X8" s="9"/>
      <c r="Y8" s="23"/>
    </row>
    <row r="9" spans="1:28" ht="9.75" customHeight="1" x14ac:dyDescent="0.3">
      <c r="A9" s="1"/>
      <c r="B9" s="1"/>
      <c r="C9" s="1"/>
      <c r="D9" s="34"/>
      <c r="E9" s="35"/>
      <c r="F9" s="35"/>
      <c r="G9" s="35"/>
      <c r="H9" s="35"/>
      <c r="I9" s="35"/>
      <c r="J9" s="35"/>
      <c r="K9" s="35"/>
      <c r="L9" s="35"/>
      <c r="M9" s="35"/>
      <c r="N9" s="35"/>
      <c r="O9" s="35"/>
      <c r="P9" s="35"/>
      <c r="Q9" s="93" t="str">
        <f>IF(Q10="Junho",6,IF(Q10="Julho",7,IF(Q10="Agosto",8,IF(Q10="Setembro",9,IF(Q10="Outubro",10,"")))))</f>
        <v/>
      </c>
      <c r="R9" s="35"/>
      <c r="S9" s="93" t="str">
        <f>IF(S10="Junho",6,IF(S10="Julho",7,IF(S10="Agosto",8,IF(S10="Setembro",9,IF(S10="Outubro",10,"")))))</f>
        <v/>
      </c>
      <c r="T9" s="33"/>
      <c r="U9" s="33"/>
      <c r="V9" s="33"/>
      <c r="W9" s="1"/>
      <c r="X9" s="1"/>
    </row>
    <row r="10" spans="1:28" ht="59.25" customHeight="1" outlineLevel="1" x14ac:dyDescent="0.3">
      <c r="A10" s="1"/>
      <c r="B10" s="269" t="s">
        <v>228</v>
      </c>
      <c r="C10" s="269"/>
      <c r="D10" s="111" t="s">
        <v>274</v>
      </c>
      <c r="E10" s="51">
        <f>IF($D10="Não cumpre",0,IF($D10="Parcial",$E$18*0.4,IF($D10="Cumpre",$E$18*0.7,IF($D10="Mais que cumpre",$E$18*0.85,IF($D10="Melhor Prática",$E$18,0)))))</f>
        <v>4.2500000000000003E-3</v>
      </c>
      <c r="F10" s="52" t="str">
        <f>IF(K20="D","D","-")</f>
        <v>-</v>
      </c>
      <c r="G10" s="52" t="str">
        <f>IF(N20="D","D","-")</f>
        <v>-</v>
      </c>
      <c r="H10" s="52" t="str">
        <f>IF(Q20="D","D","-")</f>
        <v>-</v>
      </c>
      <c r="I10" s="52" t="str">
        <f>IF(T20="D","D","-")</f>
        <v>-</v>
      </c>
      <c r="J10" s="32"/>
      <c r="K10" s="66" t="s">
        <v>230</v>
      </c>
      <c r="L10" s="50" t="s">
        <v>231</v>
      </c>
      <c r="M10" s="75">
        <v>3</v>
      </c>
      <c r="N10" s="50" t="s">
        <v>232</v>
      </c>
      <c r="O10" s="53" t="s">
        <v>302</v>
      </c>
      <c r="P10" s="50" t="s">
        <v>233</v>
      </c>
      <c r="Q10" s="92" t="s">
        <v>321</v>
      </c>
      <c r="R10" s="50" t="s">
        <v>235</v>
      </c>
      <c r="S10" s="92" t="s">
        <v>303</v>
      </c>
      <c r="T10" s="50" t="s">
        <v>237</v>
      </c>
      <c r="U10" s="53" t="s">
        <v>342</v>
      </c>
      <c r="V10" s="25"/>
      <c r="W10" s="9"/>
      <c r="X10" s="9"/>
      <c r="Y10" s="23"/>
    </row>
    <row r="11" spans="1:28" ht="20.25" x14ac:dyDescent="0.3">
      <c r="A11" s="1"/>
      <c r="B11" s="17"/>
      <c r="C11" s="17"/>
      <c r="D11" s="36"/>
      <c r="E11" s="31"/>
      <c r="F11" s="37"/>
      <c r="G11" s="37"/>
      <c r="H11" s="37"/>
      <c r="I11" s="37"/>
      <c r="J11" s="31"/>
      <c r="K11" s="25"/>
      <c r="L11" s="25"/>
      <c r="M11" s="25"/>
      <c r="N11" s="25"/>
      <c r="O11" s="25"/>
      <c r="P11" s="25"/>
      <c r="Q11" s="25"/>
      <c r="R11" s="25"/>
      <c r="S11" s="25"/>
      <c r="T11" s="25"/>
      <c r="U11" s="25"/>
      <c r="V11" s="25"/>
      <c r="W11" s="9"/>
      <c r="X11" s="9"/>
      <c r="Y11" s="23"/>
    </row>
    <row r="12" spans="1:28" ht="18" customHeight="1" outlineLevel="1" x14ac:dyDescent="0.3">
      <c r="A12" s="1"/>
      <c r="B12" s="270" t="s">
        <v>239</v>
      </c>
      <c r="C12" s="270"/>
      <c r="D12" s="272" t="str">
        <f>IF(F12="","",IF(AND(I12=3,H12=3,G12=3,F12=3),"Melhor Prática",
IF(AND(H12=3,G12=3,F12=3),"Mais que cumpre",
IF(AND(G12=3,F12=3),"Cumpre",
IF(F12=3,"Parcial","Não cumpre")))))</f>
        <v>Melhor Prática</v>
      </c>
      <c r="E12" s="273">
        <f>IF($D12="Não cumpre",0,IF($D12="Parcial",$E$18*0.4,IF($D12="Cumpre",$E$18*0.7,IF($D12="Mais que cumpre",$E$18*0.85,IF($D12="Melhor Prática",$E$18,0)))))</f>
        <v>5.0000000000000001E-3</v>
      </c>
      <c r="F12" s="268">
        <f>IF($L$24&lt;&gt;"",IF($L$24=3,3,IF($L$24=2,2,1)),"")</f>
        <v>3</v>
      </c>
      <c r="G12" s="268">
        <f>IF($O$24&lt;&gt;"",IF($O$24=3,3,IF($O$24=2,2,1)),"")</f>
        <v>3</v>
      </c>
      <c r="H12" s="268">
        <f>IF($R$24&lt;&gt;"",IF($R$24=3,3,IF($R$24=2,2,1)),"")</f>
        <v>3</v>
      </c>
      <c r="I12" s="268">
        <f>IF($U$24&lt;&gt;"",IF($U$24=3,3,IF($U$24=2,2,1)),"")</f>
        <v>3</v>
      </c>
      <c r="J12" s="32"/>
      <c r="K12" s="300" t="s">
        <v>240</v>
      </c>
      <c r="L12" s="274"/>
      <c r="M12" s="280" t="s">
        <v>303</v>
      </c>
      <c r="N12" s="299"/>
      <c r="O12" s="300" t="s">
        <v>240</v>
      </c>
      <c r="P12" s="274"/>
      <c r="Q12" s="280" t="s">
        <v>303</v>
      </c>
      <c r="R12" s="299"/>
      <c r="S12" s="274" t="s">
        <v>240</v>
      </c>
      <c r="T12" s="274"/>
      <c r="U12" s="305"/>
      <c r="V12" s="305"/>
      <c r="W12" s="9"/>
      <c r="X12" s="9"/>
      <c r="Y12" s="23"/>
      <c r="Z12" s="2"/>
      <c r="AA12" s="2"/>
      <c r="AB12" s="2"/>
    </row>
    <row r="13" spans="1:28" ht="35.25" customHeight="1" outlineLevel="1" x14ac:dyDescent="0.25">
      <c r="A13" s="1"/>
      <c r="B13" s="271"/>
      <c r="C13" s="271"/>
      <c r="D13" s="272"/>
      <c r="E13" s="273"/>
      <c r="F13" s="268"/>
      <c r="G13" s="268"/>
      <c r="H13" s="268"/>
      <c r="I13" s="268"/>
      <c r="J13" s="32"/>
      <c r="K13" s="157" t="s">
        <v>70</v>
      </c>
      <c r="L13" s="281" t="s">
        <v>242</v>
      </c>
      <c r="M13" s="281"/>
      <c r="N13" s="158" t="s">
        <v>243</v>
      </c>
      <c r="O13" s="157" t="s">
        <v>70</v>
      </c>
      <c r="P13" s="281" t="s">
        <v>242</v>
      </c>
      <c r="Q13" s="281"/>
      <c r="R13" s="158" t="s">
        <v>243</v>
      </c>
      <c r="S13" s="101" t="s">
        <v>70</v>
      </c>
      <c r="T13" s="281" t="s">
        <v>242</v>
      </c>
      <c r="U13" s="281"/>
      <c r="V13" s="101" t="s">
        <v>243</v>
      </c>
      <c r="W13" s="1"/>
      <c r="X13" s="1"/>
      <c r="Z13" s="3"/>
      <c r="AA13" s="4"/>
      <c r="AB13" s="5"/>
    </row>
    <row r="14" spans="1:28" ht="18.75" customHeight="1" outlineLevel="1" x14ac:dyDescent="0.25">
      <c r="A14" s="1"/>
      <c r="B14" s="271"/>
      <c r="C14" s="271"/>
      <c r="D14" s="272"/>
      <c r="E14" s="273"/>
      <c r="F14" s="38"/>
      <c r="G14" s="38"/>
      <c r="H14" s="38"/>
      <c r="I14" s="38"/>
      <c r="J14" s="32"/>
      <c r="K14" s="266" t="s">
        <v>247</v>
      </c>
      <c r="L14" s="286"/>
      <c r="M14" s="286"/>
      <c r="N14" s="265" t="s">
        <v>422</v>
      </c>
      <c r="O14" s="266" t="s">
        <v>249</v>
      </c>
      <c r="P14" s="286" t="s">
        <v>323</v>
      </c>
      <c r="Q14" s="286"/>
      <c r="R14" s="265" t="s">
        <v>422</v>
      </c>
      <c r="S14" s="264"/>
      <c r="T14" s="286"/>
      <c r="U14" s="286"/>
      <c r="V14" s="264"/>
      <c r="W14" s="1"/>
      <c r="X14" s="1"/>
      <c r="Z14" s="6"/>
      <c r="AA14" s="7"/>
      <c r="AB14" s="8"/>
    </row>
    <row r="15" spans="1:28" ht="21" customHeight="1" outlineLevel="1" x14ac:dyDescent="0.25">
      <c r="A15" s="1"/>
      <c r="B15" s="271"/>
      <c r="C15" s="271"/>
      <c r="D15" s="282" t="str">
        <f>IF(S10&lt;&gt;"",IF(OR(S14="finalizado",O14="finalizado",K14="finalizado"),"Finalizado",
IF(OR(AND(S10=U12,S14&lt;&gt;"finalizado"),AND(S10=Q12,O14&lt;&gt;"finalizado"),AND(S10=M12,K14&lt;&gt;"finalizado")),"Retrasado","A Tiempo")),"No Planificado")</f>
        <v>Finalizado</v>
      </c>
      <c r="E15" s="282"/>
      <c r="F15" s="282"/>
      <c r="G15" s="282"/>
      <c r="H15" s="282"/>
      <c r="I15" s="282"/>
      <c r="J15" s="26"/>
      <c r="K15" s="266"/>
      <c r="L15" s="286"/>
      <c r="M15" s="286"/>
      <c r="N15" s="265"/>
      <c r="O15" s="266"/>
      <c r="P15" s="286"/>
      <c r="Q15" s="286"/>
      <c r="R15" s="265"/>
      <c r="S15" s="264"/>
      <c r="T15" s="286"/>
      <c r="U15" s="286"/>
      <c r="V15" s="264"/>
      <c r="W15" s="1"/>
      <c r="X15" s="1"/>
      <c r="Z15" s="6"/>
      <c r="AA15" s="7"/>
      <c r="AB15" s="7"/>
    </row>
    <row r="16" spans="1:28" ht="21" customHeight="1" x14ac:dyDescent="0.3">
      <c r="A16" s="1"/>
      <c r="B16" s="17"/>
      <c r="C16" s="17"/>
      <c r="D16" s="9"/>
      <c r="E16" s="87" t="str">
        <f>IF(COUNTA(F16:I16)=0,"NBC","BC")</f>
        <v>NBC</v>
      </c>
      <c r="F16" s="87"/>
      <c r="G16" s="87"/>
      <c r="H16" s="87"/>
      <c r="I16" s="9"/>
      <c r="J16" s="16"/>
      <c r="K16" s="9"/>
      <c r="L16" s="9"/>
      <c r="M16" s="9"/>
      <c r="N16" s="9"/>
      <c r="O16" s="9"/>
      <c r="P16" s="9"/>
      <c r="Q16" s="9"/>
      <c r="R16" s="9"/>
      <c r="S16" s="9"/>
      <c r="T16" s="9"/>
      <c r="U16" s="9"/>
      <c r="V16" s="9"/>
      <c r="W16" s="9"/>
      <c r="X16" s="9"/>
      <c r="Y16" s="23"/>
    </row>
    <row r="17" spans="1:25" ht="21" customHeight="1" x14ac:dyDescent="0.3">
      <c r="A17" s="1"/>
      <c r="B17" s="17"/>
      <c r="C17" s="17"/>
      <c r="D17" s="9"/>
      <c r="E17" s="9"/>
      <c r="F17" s="9"/>
      <c r="G17" s="9"/>
      <c r="H17" s="9"/>
      <c r="I17" s="9"/>
      <c r="J17" s="16"/>
      <c r="K17" s="284" t="s">
        <v>246</v>
      </c>
      <c r="L17" s="285"/>
      <c r="M17" s="290"/>
      <c r="N17" s="284" t="s">
        <v>248</v>
      </c>
      <c r="O17" s="285"/>
      <c r="P17" s="290"/>
      <c r="Q17" s="284" t="s">
        <v>229</v>
      </c>
      <c r="R17" s="285"/>
      <c r="S17" s="290"/>
      <c r="T17" s="284" t="s">
        <v>251</v>
      </c>
      <c r="U17" s="285"/>
      <c r="V17" s="290"/>
      <c r="W17" s="9"/>
      <c r="X17" s="9"/>
      <c r="Y17" s="23"/>
    </row>
    <row r="18" spans="1:25" ht="20.25" customHeight="1" outlineLevel="2" x14ac:dyDescent="0.3">
      <c r="A18" s="1"/>
      <c r="B18" s="283" t="s">
        <v>252</v>
      </c>
      <c r="C18" s="283"/>
      <c r="D18" s="42" t="s">
        <v>53</v>
      </c>
      <c r="E18" s="39">
        <v>5.0000000000000001E-3</v>
      </c>
      <c r="F18" s="116"/>
      <c r="G18" s="116"/>
      <c r="H18" s="116"/>
      <c r="I18" s="116"/>
      <c r="J18" s="9"/>
      <c r="K18" s="266" t="s">
        <v>1089</v>
      </c>
      <c r="L18" s="264"/>
      <c r="M18" s="265"/>
      <c r="N18" s="266" t="s">
        <v>1090</v>
      </c>
      <c r="O18" s="264"/>
      <c r="P18" s="265"/>
      <c r="Q18" s="266" t="s">
        <v>1091</v>
      </c>
      <c r="R18" s="264"/>
      <c r="S18" s="265"/>
      <c r="T18" s="266" t="s">
        <v>1092</v>
      </c>
      <c r="U18" s="264"/>
      <c r="V18" s="265"/>
      <c r="W18" s="9"/>
      <c r="X18" s="9"/>
      <c r="Y18" s="23"/>
    </row>
    <row r="19" spans="1:25" ht="141.75" customHeight="1" outlineLevel="2" x14ac:dyDescent="0.3">
      <c r="A19" s="1"/>
      <c r="B19" s="283"/>
      <c r="C19" s="283"/>
      <c r="D19" s="42" t="s">
        <v>257</v>
      </c>
      <c r="E19" s="307" t="s">
        <v>1093</v>
      </c>
      <c r="F19" s="307"/>
      <c r="G19" s="307"/>
      <c r="H19" s="307"/>
      <c r="I19" s="307"/>
      <c r="J19" s="25"/>
      <c r="K19" s="266"/>
      <c r="L19" s="264"/>
      <c r="M19" s="265"/>
      <c r="N19" s="266"/>
      <c r="O19" s="264"/>
      <c r="P19" s="265"/>
      <c r="Q19" s="266"/>
      <c r="R19" s="264"/>
      <c r="S19" s="265"/>
      <c r="T19" s="266"/>
      <c r="U19" s="264"/>
      <c r="V19" s="265"/>
      <c r="W19" s="9"/>
      <c r="X19" s="9"/>
      <c r="Y19" s="23"/>
    </row>
    <row r="20" spans="1:25" ht="18.75" customHeight="1" outlineLevel="2" x14ac:dyDescent="0.3">
      <c r="A20" s="1"/>
      <c r="B20" s="283"/>
      <c r="C20" s="283"/>
      <c r="D20" s="287" t="s">
        <v>74</v>
      </c>
      <c r="E20" s="288" t="s">
        <v>179</v>
      </c>
      <c r="F20" s="288"/>
      <c r="G20" s="288"/>
      <c r="H20" s="288"/>
      <c r="I20" s="288"/>
      <c r="J20" s="25"/>
      <c r="K20" s="266"/>
      <c r="L20" s="264"/>
      <c r="M20" s="265"/>
      <c r="N20" s="266"/>
      <c r="O20" s="264"/>
      <c r="P20" s="265"/>
      <c r="Q20" s="266"/>
      <c r="R20" s="264"/>
      <c r="S20" s="265"/>
      <c r="T20" s="266"/>
      <c r="U20" s="264"/>
      <c r="V20" s="265"/>
      <c r="W20" s="9"/>
      <c r="X20" s="9"/>
      <c r="Y20" s="23"/>
    </row>
    <row r="21" spans="1:25" ht="40.5" customHeight="1" outlineLevel="2" x14ac:dyDescent="0.3">
      <c r="A21" s="18">
        <v>5.0000000000000001E-3</v>
      </c>
      <c r="B21" s="283"/>
      <c r="C21" s="283"/>
      <c r="D21" s="287"/>
      <c r="E21" s="288"/>
      <c r="F21" s="288"/>
      <c r="G21" s="288"/>
      <c r="H21" s="288"/>
      <c r="I21" s="288"/>
      <c r="J21" s="25"/>
      <c r="K21" s="266" t="s">
        <v>441</v>
      </c>
      <c r="L21" s="264"/>
      <c r="M21" s="265"/>
      <c r="N21" s="266" t="s">
        <v>441</v>
      </c>
      <c r="O21" s="264"/>
      <c r="P21" s="265"/>
      <c r="Q21" s="266" t="s">
        <v>441</v>
      </c>
      <c r="R21" s="264"/>
      <c r="S21" s="265"/>
      <c r="T21" s="266" t="s">
        <v>441</v>
      </c>
      <c r="U21" s="264"/>
      <c r="V21" s="265"/>
      <c r="W21" s="9"/>
      <c r="X21" s="9"/>
      <c r="Y21" s="23"/>
    </row>
    <row r="22" spans="1:25" ht="16.5" x14ac:dyDescent="0.3">
      <c r="A22" s="1"/>
      <c r="B22" s="9"/>
      <c r="C22" s="9"/>
      <c r="D22" s="9"/>
      <c r="E22" s="9"/>
      <c r="F22" s="9"/>
      <c r="G22" s="9"/>
      <c r="H22" s="9"/>
      <c r="I22" s="9"/>
      <c r="J22" s="9"/>
      <c r="K22" s="69"/>
      <c r="L22" s="9"/>
      <c r="M22" s="9"/>
      <c r="N22" s="9"/>
      <c r="O22" s="9"/>
      <c r="P22" s="9"/>
      <c r="Q22" s="9"/>
      <c r="R22" s="9"/>
      <c r="S22" s="9"/>
      <c r="T22" s="9"/>
      <c r="U22" s="9"/>
      <c r="V22" s="70"/>
      <c r="W22" s="9"/>
      <c r="X22" s="9"/>
      <c r="Y22" s="23"/>
    </row>
    <row r="23" spans="1:25" ht="39" x14ac:dyDescent="0.3">
      <c r="A23" s="1"/>
      <c r="B23" s="9"/>
      <c r="C23" s="9"/>
      <c r="D23" s="9"/>
      <c r="G23" s="9"/>
      <c r="H23" s="9"/>
      <c r="K23" s="54" t="s">
        <v>46</v>
      </c>
      <c r="L23" s="24" t="s">
        <v>264</v>
      </c>
      <c r="M23" s="55" t="s">
        <v>265</v>
      </c>
      <c r="N23" s="54" t="s">
        <v>46</v>
      </c>
      <c r="O23" s="24" t="s">
        <v>264</v>
      </c>
      <c r="P23" s="55" t="s">
        <v>265</v>
      </c>
      <c r="Q23" s="54" t="s">
        <v>46</v>
      </c>
      <c r="R23" s="24" t="s">
        <v>264</v>
      </c>
      <c r="S23" s="55" t="s">
        <v>265</v>
      </c>
      <c r="T23" s="54" t="s">
        <v>46</v>
      </c>
      <c r="U23" s="24" t="s">
        <v>264</v>
      </c>
      <c r="V23" s="55" t="s">
        <v>265</v>
      </c>
      <c r="X23" s="9"/>
      <c r="Y23" s="23"/>
    </row>
    <row r="24" spans="1:25" ht="36.75" customHeight="1" x14ac:dyDescent="0.3">
      <c r="A24" s="1"/>
      <c r="B24" s="9"/>
      <c r="C24" s="9"/>
      <c r="D24" s="9"/>
      <c r="F24" s="291" t="s">
        <v>266</v>
      </c>
      <c r="G24" s="292" t="s">
        <v>70</v>
      </c>
      <c r="H24" s="292"/>
      <c r="I24" s="292"/>
      <c r="K24" s="56">
        <v>3</v>
      </c>
      <c r="L24" s="40">
        <v>3</v>
      </c>
      <c r="M24" s="289"/>
      <c r="N24" s="56">
        <v>3</v>
      </c>
      <c r="O24" s="40">
        <v>3</v>
      </c>
      <c r="P24" s="289"/>
      <c r="Q24" s="56">
        <v>1</v>
      </c>
      <c r="R24" s="40">
        <v>3</v>
      </c>
      <c r="S24" s="289"/>
      <c r="T24" s="56"/>
      <c r="U24" s="40">
        <v>3</v>
      </c>
      <c r="V24" s="289"/>
      <c r="X24" s="9"/>
      <c r="Y24" s="23"/>
    </row>
    <row r="25" spans="1:25" ht="19.5" customHeight="1" x14ac:dyDescent="0.3">
      <c r="A25" s="1"/>
      <c r="B25" s="9"/>
      <c r="C25" s="9"/>
      <c r="D25" s="9"/>
      <c r="F25" s="291"/>
      <c r="G25" s="292"/>
      <c r="H25" s="292"/>
      <c r="I25" s="292"/>
      <c r="K25" s="57"/>
      <c r="L25" s="43"/>
      <c r="M25" s="289"/>
      <c r="N25" s="57"/>
      <c r="O25" s="43"/>
      <c r="P25" s="289"/>
      <c r="Q25" s="57"/>
      <c r="R25" s="43"/>
      <c r="S25" s="289"/>
      <c r="T25" s="57"/>
      <c r="U25" s="43"/>
      <c r="V25" s="289"/>
      <c r="X25" s="9"/>
      <c r="Y25" s="23"/>
    </row>
    <row r="26" spans="1:25" ht="208.5" customHeight="1" x14ac:dyDescent="0.3">
      <c r="A26" s="1"/>
      <c r="B26" s="9"/>
      <c r="C26" s="9"/>
      <c r="D26" s="9"/>
      <c r="F26" s="291"/>
      <c r="G26" s="292" t="s">
        <v>242</v>
      </c>
      <c r="H26" s="292"/>
      <c r="I26" s="292"/>
      <c r="K26" s="58"/>
      <c r="L26" s="45"/>
      <c r="M26" s="289"/>
      <c r="N26" s="58"/>
      <c r="O26" s="45"/>
      <c r="P26" s="289"/>
      <c r="Q26" s="58"/>
      <c r="R26" s="45" t="s">
        <v>1094</v>
      </c>
      <c r="S26" s="289"/>
      <c r="T26" s="58"/>
      <c r="U26" s="45" t="s">
        <v>1191</v>
      </c>
      <c r="V26" s="289"/>
      <c r="X26" s="9"/>
      <c r="Y26" s="23"/>
    </row>
    <row r="27" spans="1:25" ht="18" customHeight="1" x14ac:dyDescent="0.3">
      <c r="A27" s="1"/>
      <c r="B27" s="9"/>
      <c r="C27" s="9"/>
      <c r="D27" s="9"/>
      <c r="F27" s="291"/>
      <c r="G27" s="292" t="s">
        <v>269</v>
      </c>
      <c r="H27" s="292"/>
      <c r="I27" s="292"/>
      <c r="K27" s="59"/>
      <c r="L27" s="25"/>
      <c r="M27" s="60"/>
      <c r="N27" s="59"/>
      <c r="O27" s="25"/>
      <c r="P27" s="102"/>
      <c r="Q27" s="59"/>
      <c r="R27" s="25"/>
      <c r="S27" s="60"/>
      <c r="T27" s="59"/>
      <c r="U27" s="25"/>
      <c r="V27" s="60"/>
      <c r="X27" s="9"/>
      <c r="Y27" s="23"/>
    </row>
    <row r="28" spans="1:25" ht="18" customHeight="1" x14ac:dyDescent="0.3">
      <c r="A28" s="1"/>
      <c r="B28" s="9"/>
      <c r="C28" s="9"/>
      <c r="D28" s="9"/>
      <c r="F28" s="291"/>
      <c r="G28" s="292"/>
      <c r="H28" s="292"/>
      <c r="I28" s="292"/>
      <c r="K28" s="59"/>
      <c r="L28" s="25"/>
      <c r="M28" s="60"/>
      <c r="N28" s="59"/>
      <c r="O28" s="25"/>
      <c r="P28" s="102"/>
      <c r="Q28" s="59"/>
      <c r="R28" s="25"/>
      <c r="S28" s="60"/>
      <c r="T28" s="59"/>
      <c r="U28" s="25"/>
      <c r="V28" s="60"/>
      <c r="X28" s="9"/>
      <c r="Y28" s="23"/>
    </row>
    <row r="29" spans="1:25" ht="18" customHeight="1" x14ac:dyDescent="0.3">
      <c r="A29" s="1"/>
      <c r="B29" s="9"/>
      <c r="C29" s="9"/>
      <c r="D29" s="9"/>
      <c r="F29" s="291"/>
      <c r="G29" s="292"/>
      <c r="H29" s="292"/>
      <c r="I29" s="292"/>
      <c r="K29" s="59"/>
      <c r="L29" s="25"/>
      <c r="M29" s="60"/>
      <c r="N29" s="59"/>
      <c r="O29" s="25"/>
      <c r="P29" s="102"/>
      <c r="Q29" s="59"/>
      <c r="R29" s="25"/>
      <c r="S29" s="60"/>
      <c r="T29" s="59"/>
      <c r="U29" s="25"/>
      <c r="V29" s="60"/>
      <c r="X29" s="9"/>
      <c r="Y29" s="23"/>
    </row>
    <row r="30" spans="1:25" ht="18" customHeight="1" x14ac:dyDescent="0.3">
      <c r="A30" s="1"/>
      <c r="B30" s="9"/>
      <c r="C30" s="9"/>
      <c r="D30" s="9"/>
      <c r="F30" s="291"/>
      <c r="G30" s="292"/>
      <c r="H30" s="292"/>
      <c r="I30" s="292"/>
      <c r="K30" s="59"/>
      <c r="L30" s="25"/>
      <c r="M30" s="60"/>
      <c r="N30" s="59"/>
      <c r="O30" s="25"/>
      <c r="P30" s="102"/>
      <c r="Q30" s="59"/>
      <c r="R30" s="25"/>
      <c r="S30" s="60"/>
      <c r="T30" s="59"/>
      <c r="U30" s="25"/>
      <c r="V30" s="60"/>
      <c r="X30" s="9"/>
      <c r="Y30" s="23"/>
    </row>
    <row r="31" spans="1:25" ht="18" customHeight="1" x14ac:dyDescent="0.3">
      <c r="A31" s="1"/>
      <c r="B31" s="9"/>
      <c r="C31" s="9"/>
      <c r="D31" s="9"/>
      <c r="F31" s="291"/>
      <c r="G31" s="292"/>
      <c r="H31" s="292"/>
      <c r="I31" s="292"/>
      <c r="K31" s="59"/>
      <c r="L31" s="25"/>
      <c r="M31" s="60"/>
      <c r="N31" s="59"/>
      <c r="O31" s="25"/>
      <c r="P31" s="102"/>
      <c r="Q31" s="59"/>
      <c r="R31" s="25"/>
      <c r="S31" s="60"/>
      <c r="T31" s="59"/>
      <c r="U31" s="25"/>
      <c r="V31" s="60"/>
      <c r="X31" s="9"/>
      <c r="Y31" s="23"/>
    </row>
    <row r="32" spans="1:25" ht="18" customHeight="1" x14ac:dyDescent="0.3">
      <c r="A32" s="1"/>
      <c r="B32" s="9"/>
      <c r="C32" s="9"/>
      <c r="D32" s="9"/>
      <c r="F32" s="291"/>
      <c r="G32" s="292"/>
      <c r="H32" s="292"/>
      <c r="I32" s="292"/>
      <c r="K32" s="59"/>
      <c r="L32" s="25"/>
      <c r="M32" s="60"/>
      <c r="N32" s="59"/>
      <c r="O32" s="25"/>
      <c r="P32" s="102"/>
      <c r="Q32" s="59"/>
      <c r="R32" s="25"/>
      <c r="S32" s="60"/>
      <c r="T32" s="59"/>
      <c r="U32" s="25"/>
      <c r="V32" s="60"/>
      <c r="X32" s="9"/>
      <c r="Y32" s="23"/>
    </row>
    <row r="33" spans="1:25" ht="18" customHeight="1" x14ac:dyDescent="0.3">
      <c r="A33" s="1"/>
      <c r="B33" s="9"/>
      <c r="C33" s="9"/>
      <c r="D33" s="9"/>
      <c r="F33" s="291"/>
      <c r="G33" s="292"/>
      <c r="H33" s="292"/>
      <c r="I33" s="292"/>
      <c r="K33" s="59"/>
      <c r="L33" s="25"/>
      <c r="M33" s="60"/>
      <c r="N33" s="59"/>
      <c r="O33" s="25"/>
      <c r="P33" s="102"/>
      <c r="Q33" s="59"/>
      <c r="R33" s="25"/>
      <c r="S33" s="60"/>
      <c r="T33" s="59"/>
      <c r="U33" s="25"/>
      <c r="V33" s="60"/>
      <c r="X33" s="9"/>
      <c r="Y33" s="23"/>
    </row>
    <row r="34" spans="1:25" ht="18" customHeight="1" x14ac:dyDescent="0.3">
      <c r="A34" s="1"/>
      <c r="B34" s="9"/>
      <c r="C34" s="9"/>
      <c r="D34" s="9"/>
      <c r="F34" s="291"/>
      <c r="G34" s="292"/>
      <c r="H34" s="292"/>
      <c r="I34" s="292"/>
      <c r="K34" s="59"/>
      <c r="L34" s="25"/>
      <c r="M34" s="60"/>
      <c r="N34" s="59"/>
      <c r="O34" s="25"/>
      <c r="P34" s="102"/>
      <c r="Q34" s="59"/>
      <c r="R34" s="25"/>
      <c r="S34" s="60"/>
      <c r="T34" s="59"/>
      <c r="U34" s="25"/>
      <c r="V34" s="60"/>
      <c r="X34" s="9"/>
      <c r="Y34" s="23"/>
    </row>
    <row r="35" spans="1:25" ht="18" customHeight="1" x14ac:dyDescent="0.3">
      <c r="A35" s="1"/>
      <c r="B35" s="9"/>
      <c r="C35" s="9"/>
      <c r="D35" s="9"/>
      <c r="F35" s="291"/>
      <c r="G35" s="292"/>
      <c r="H35" s="292"/>
      <c r="I35" s="292"/>
      <c r="K35" s="59"/>
      <c r="L35" s="25"/>
      <c r="M35" s="60"/>
      <c r="N35" s="59"/>
      <c r="O35" s="25"/>
      <c r="P35" s="102"/>
      <c r="Q35" s="59"/>
      <c r="R35" s="25"/>
      <c r="S35" s="60"/>
      <c r="T35" s="59"/>
      <c r="U35" s="25"/>
      <c r="V35" s="60"/>
      <c r="X35" s="9"/>
      <c r="Y35" s="23"/>
    </row>
    <row r="36" spans="1:25" ht="18" customHeight="1" x14ac:dyDescent="0.3">
      <c r="A36" s="1"/>
      <c r="B36" s="9"/>
      <c r="C36" s="9"/>
      <c r="D36" s="9"/>
      <c r="F36" s="291"/>
      <c r="G36" s="292"/>
      <c r="H36" s="292"/>
      <c r="I36" s="292"/>
      <c r="K36" s="59"/>
      <c r="L36" s="25"/>
      <c r="M36" s="60"/>
      <c r="N36" s="59"/>
      <c r="O36" s="25"/>
      <c r="P36" s="102"/>
      <c r="Q36" s="59"/>
      <c r="R36" s="25"/>
      <c r="S36" s="60"/>
      <c r="T36" s="59"/>
      <c r="U36" s="25"/>
      <c r="V36" s="60"/>
      <c r="X36" s="9"/>
      <c r="Y36" s="23"/>
    </row>
    <row r="37" spans="1:25" ht="18" customHeight="1" x14ac:dyDescent="0.3">
      <c r="A37" s="1"/>
      <c r="B37" s="9"/>
      <c r="C37" s="9"/>
      <c r="D37" s="9"/>
      <c r="F37" s="291"/>
      <c r="G37" s="292"/>
      <c r="H37" s="292"/>
      <c r="I37" s="292"/>
      <c r="K37" s="59"/>
      <c r="L37" s="25"/>
      <c r="M37" s="60"/>
      <c r="N37" s="59"/>
      <c r="O37" s="25"/>
      <c r="P37" s="102"/>
      <c r="Q37" s="59"/>
      <c r="R37" s="25"/>
      <c r="S37" s="60"/>
      <c r="T37" s="59"/>
      <c r="U37" s="25"/>
      <c r="V37" s="60"/>
      <c r="X37" s="9"/>
      <c r="Y37" s="23"/>
    </row>
    <row r="38" spans="1:25" ht="18" customHeight="1" x14ac:dyDescent="0.3">
      <c r="A38" s="1"/>
      <c r="B38" s="9"/>
      <c r="C38" s="9"/>
      <c r="D38" s="9"/>
      <c r="F38" s="291"/>
      <c r="G38" s="292"/>
      <c r="H38" s="292"/>
      <c r="I38" s="292"/>
      <c r="K38" s="59"/>
      <c r="L38" s="25"/>
      <c r="M38" s="60"/>
      <c r="N38" s="59"/>
      <c r="O38" s="25"/>
      <c r="P38" s="102"/>
      <c r="Q38" s="59"/>
      <c r="R38" s="25"/>
      <c r="S38" s="60"/>
      <c r="T38" s="59"/>
      <c r="U38" s="25"/>
      <c r="V38" s="60"/>
      <c r="X38" s="9"/>
      <c r="Y38" s="23"/>
    </row>
    <row r="39" spans="1:25" ht="18" customHeight="1" x14ac:dyDescent="0.3">
      <c r="A39" s="1"/>
      <c r="B39" s="9"/>
      <c r="C39" s="9"/>
      <c r="D39" s="9"/>
      <c r="F39" s="291"/>
      <c r="G39" s="292"/>
      <c r="H39" s="292"/>
      <c r="I39" s="292"/>
      <c r="K39" s="59"/>
      <c r="L39" s="25"/>
      <c r="M39" s="60"/>
      <c r="N39" s="59"/>
      <c r="O39" s="25"/>
      <c r="P39" s="102"/>
      <c r="Q39" s="59"/>
      <c r="R39" s="25"/>
      <c r="S39" s="60"/>
      <c r="T39" s="59"/>
      <c r="U39" s="25"/>
      <c r="V39" s="60"/>
      <c r="X39" s="9"/>
      <c r="Y39" s="23"/>
    </row>
    <row r="40" spans="1:25" ht="18" customHeight="1" x14ac:dyDescent="0.3">
      <c r="A40" s="1"/>
      <c r="B40" s="9"/>
      <c r="C40" s="9"/>
      <c r="D40" s="9"/>
      <c r="F40" s="291"/>
      <c r="G40" s="292"/>
      <c r="H40" s="292"/>
      <c r="I40" s="292"/>
      <c r="K40" s="59"/>
      <c r="L40" s="25"/>
      <c r="M40" s="60"/>
      <c r="N40" s="59"/>
      <c r="O40" s="25"/>
      <c r="P40" s="102"/>
      <c r="Q40" s="59"/>
      <c r="R40" s="25"/>
      <c r="S40" s="60"/>
      <c r="T40" s="59"/>
      <c r="U40" s="25"/>
      <c r="V40" s="60"/>
      <c r="X40" s="9"/>
      <c r="Y40" s="23"/>
    </row>
    <row r="41" spans="1:25" ht="18" customHeight="1" x14ac:dyDescent="0.3">
      <c r="A41" s="1"/>
      <c r="B41" s="9"/>
      <c r="C41" s="9"/>
      <c r="D41" s="9"/>
      <c r="F41" s="291"/>
      <c r="G41" s="292"/>
      <c r="H41" s="292"/>
      <c r="I41" s="292"/>
      <c r="K41" s="59"/>
      <c r="L41" s="25"/>
      <c r="M41" s="60"/>
      <c r="N41" s="59"/>
      <c r="O41" s="25"/>
      <c r="P41" s="102"/>
      <c r="Q41" s="59"/>
      <c r="R41" s="25"/>
      <c r="S41" s="60"/>
      <c r="T41" s="59"/>
      <c r="U41" s="25"/>
      <c r="V41" s="60"/>
      <c r="X41" s="9"/>
      <c r="Y41" s="23"/>
    </row>
    <row r="42" spans="1:25" ht="18" customHeight="1" x14ac:dyDescent="0.3">
      <c r="A42" s="1"/>
      <c r="B42" s="9"/>
      <c r="C42" s="9"/>
      <c r="D42" s="9"/>
      <c r="F42" s="291"/>
      <c r="G42" s="292"/>
      <c r="H42" s="292"/>
      <c r="I42" s="292"/>
      <c r="K42" s="59"/>
      <c r="L42" s="25"/>
      <c r="M42" s="60"/>
      <c r="N42" s="59"/>
      <c r="O42" s="25"/>
      <c r="P42" s="102"/>
      <c r="Q42" s="59"/>
      <c r="R42" s="25"/>
      <c r="S42" s="60"/>
      <c r="T42" s="59"/>
      <c r="U42" s="25"/>
      <c r="V42" s="60"/>
      <c r="X42" s="9"/>
      <c r="Y42" s="23"/>
    </row>
    <row r="43" spans="1:25" ht="18" customHeight="1" x14ac:dyDescent="0.3">
      <c r="A43" s="1"/>
      <c r="B43" s="9"/>
      <c r="C43" s="9"/>
      <c r="D43" s="9"/>
      <c r="F43" s="291"/>
      <c r="G43" s="292"/>
      <c r="H43" s="292"/>
      <c r="I43" s="292"/>
      <c r="K43" s="59"/>
      <c r="L43" s="25"/>
      <c r="M43" s="60"/>
      <c r="N43" s="59"/>
      <c r="O43" s="25"/>
      <c r="P43" s="102"/>
      <c r="Q43" s="59"/>
      <c r="R43" s="25"/>
      <c r="S43" s="60"/>
      <c r="T43" s="59"/>
      <c r="U43" s="25"/>
      <c r="V43" s="60"/>
      <c r="X43" s="9"/>
      <c r="Y43" s="23"/>
    </row>
    <row r="44" spans="1:25" ht="18" customHeight="1" x14ac:dyDescent="0.3">
      <c r="A44" s="1"/>
      <c r="B44" s="9"/>
      <c r="C44" s="9"/>
      <c r="D44" s="9"/>
      <c r="F44" s="291"/>
      <c r="G44" s="292"/>
      <c r="H44" s="292"/>
      <c r="I44" s="292"/>
      <c r="K44" s="59"/>
      <c r="L44" s="25"/>
      <c r="M44" s="60"/>
      <c r="N44" s="59"/>
      <c r="O44" s="25"/>
      <c r="P44" s="102"/>
      <c r="Q44" s="59"/>
      <c r="R44" s="25"/>
      <c r="S44" s="60"/>
      <c r="T44" s="59"/>
      <c r="U44" s="25"/>
      <c r="V44" s="60"/>
      <c r="X44" s="9"/>
      <c r="Y44" s="23"/>
    </row>
    <row r="45" spans="1:25" ht="18" customHeight="1" x14ac:dyDescent="0.3">
      <c r="A45" s="1"/>
      <c r="B45" s="9"/>
      <c r="C45" s="9"/>
      <c r="D45" s="9"/>
      <c r="F45" s="291"/>
      <c r="G45" s="292"/>
      <c r="H45" s="292"/>
      <c r="I45" s="292"/>
      <c r="K45" s="59"/>
      <c r="L45" s="25"/>
      <c r="M45" s="60"/>
      <c r="N45" s="59"/>
      <c r="O45" s="25"/>
      <c r="P45" s="102"/>
      <c r="Q45" s="59"/>
      <c r="R45" s="25"/>
      <c r="S45" s="60"/>
      <c r="T45" s="59"/>
      <c r="U45" s="25"/>
      <c r="V45" s="60"/>
      <c r="X45" s="9"/>
      <c r="Y45" s="23"/>
    </row>
    <row r="46" spans="1:25" ht="18" customHeight="1" x14ac:dyDescent="0.3">
      <c r="A46" s="1"/>
      <c r="B46" s="9"/>
      <c r="C46" s="9"/>
      <c r="D46" s="9"/>
      <c r="F46" s="291"/>
      <c r="G46" s="292"/>
      <c r="H46" s="292"/>
      <c r="I46" s="292"/>
      <c r="K46" s="59"/>
      <c r="L46" s="25"/>
      <c r="M46" s="60"/>
      <c r="N46" s="59"/>
      <c r="O46" s="25"/>
      <c r="P46" s="102"/>
      <c r="Q46" s="59"/>
      <c r="R46" s="25"/>
      <c r="S46" s="60"/>
      <c r="T46" s="59"/>
      <c r="U46" s="25"/>
      <c r="V46" s="60"/>
      <c r="X46" s="9"/>
      <c r="Y46" s="23"/>
    </row>
    <row r="47" spans="1:25" ht="18" customHeight="1" x14ac:dyDescent="0.3">
      <c r="A47" s="1"/>
      <c r="B47" s="9"/>
      <c r="C47" s="9"/>
      <c r="D47" s="9"/>
      <c r="F47" s="291"/>
      <c r="G47" s="292"/>
      <c r="H47" s="292"/>
      <c r="I47" s="292"/>
      <c r="K47" s="59"/>
      <c r="L47" s="25"/>
      <c r="M47" s="60"/>
      <c r="N47" s="59"/>
      <c r="O47" s="25"/>
      <c r="P47" s="102"/>
      <c r="Q47" s="59"/>
      <c r="R47" s="25"/>
      <c r="S47" s="60"/>
      <c r="T47" s="59"/>
      <c r="U47" s="25"/>
      <c r="V47" s="60"/>
      <c r="X47" s="9"/>
      <c r="Y47" s="23"/>
    </row>
    <row r="48" spans="1:25" ht="18" customHeight="1" x14ac:dyDescent="0.3">
      <c r="A48" s="1"/>
      <c r="B48" s="9"/>
      <c r="C48" s="9"/>
      <c r="D48" s="9"/>
      <c r="F48" s="291"/>
      <c r="G48" s="292"/>
      <c r="H48" s="292"/>
      <c r="I48" s="292"/>
      <c r="K48" s="59"/>
      <c r="L48" s="25"/>
      <c r="M48" s="60"/>
      <c r="N48" s="59"/>
      <c r="O48" s="25"/>
      <c r="P48" s="102"/>
      <c r="Q48" s="59"/>
      <c r="R48" s="25"/>
      <c r="S48" s="60"/>
      <c r="T48" s="59"/>
      <c r="U48" s="25"/>
      <c r="V48" s="60"/>
      <c r="X48" s="9"/>
      <c r="Y48" s="23"/>
    </row>
    <row r="49" spans="1:25" ht="18" customHeight="1" x14ac:dyDescent="0.3">
      <c r="A49" s="1"/>
      <c r="B49" s="9"/>
      <c r="C49" s="9"/>
      <c r="D49" s="9"/>
      <c r="F49" s="291"/>
      <c r="G49" s="292"/>
      <c r="H49" s="292"/>
      <c r="I49" s="292"/>
      <c r="K49" s="59"/>
      <c r="L49" s="25"/>
      <c r="M49" s="60"/>
      <c r="N49" s="59"/>
      <c r="O49" s="25"/>
      <c r="P49" s="60"/>
      <c r="Q49" s="59"/>
      <c r="R49" s="25"/>
      <c r="S49" s="60"/>
      <c r="T49" s="59"/>
      <c r="U49" s="25"/>
      <c r="V49" s="60"/>
      <c r="X49" s="9"/>
      <c r="Y49" s="23"/>
    </row>
    <row r="50" spans="1:25" x14ac:dyDescent="0.25">
      <c r="S50" s="1"/>
      <c r="V50" s="1"/>
    </row>
    <row r="51" spans="1:25" ht="15" customHeight="1" x14ac:dyDescent="0.25"/>
  </sheetData>
  <mergeCells count="63">
    <mergeCell ref="B7:C7"/>
    <mergeCell ref="M7:O8"/>
    <mergeCell ref="Q7:S8"/>
    <mergeCell ref="G12:G13"/>
    <mergeCell ref="D2:I2"/>
    <mergeCell ref="D3:I4"/>
    <mergeCell ref="K3:S4"/>
    <mergeCell ref="D5:I5"/>
    <mergeCell ref="K5:R5"/>
    <mergeCell ref="B10:C10"/>
    <mergeCell ref="B12:C15"/>
    <mergeCell ref="D12:D14"/>
    <mergeCell ref="E12:E14"/>
    <mergeCell ref="F12:F13"/>
    <mergeCell ref="H12:H13"/>
    <mergeCell ref="I12:I13"/>
    <mergeCell ref="M12:N12"/>
    <mergeCell ref="O12:P12"/>
    <mergeCell ref="K17:M17"/>
    <mergeCell ref="N17:P17"/>
    <mergeCell ref="K14:K15"/>
    <mergeCell ref="T17:V17"/>
    <mergeCell ref="S12:T12"/>
    <mergeCell ref="U12:V12"/>
    <mergeCell ref="L13:M13"/>
    <mergeCell ref="P13:Q13"/>
    <mergeCell ref="T13:U13"/>
    <mergeCell ref="L14:M15"/>
    <mergeCell ref="N14:N15"/>
    <mergeCell ref="O14:O15"/>
    <mergeCell ref="P14:Q15"/>
    <mergeCell ref="Q12:R12"/>
    <mergeCell ref="R14:R15"/>
    <mergeCell ref="S14:S15"/>
    <mergeCell ref="T14:U15"/>
    <mergeCell ref="V14:V15"/>
    <mergeCell ref="K12:L12"/>
    <mergeCell ref="D15:I15"/>
    <mergeCell ref="B18:C21"/>
    <mergeCell ref="K18:M19"/>
    <mergeCell ref="N18:P19"/>
    <mergeCell ref="Q18:S19"/>
    <mergeCell ref="Q17:S17"/>
    <mergeCell ref="T18:V19"/>
    <mergeCell ref="E19:I19"/>
    <mergeCell ref="D20:D21"/>
    <mergeCell ref="E20:I21"/>
    <mergeCell ref="K20:M20"/>
    <mergeCell ref="N20:P20"/>
    <mergeCell ref="V24:V26"/>
    <mergeCell ref="G26:I26"/>
    <mergeCell ref="G27:I49"/>
    <mergeCell ref="Q20:S20"/>
    <mergeCell ref="T20:V20"/>
    <mergeCell ref="K21:M21"/>
    <mergeCell ref="N21:P21"/>
    <mergeCell ref="Q21:S21"/>
    <mergeCell ref="T21:V21"/>
    <mergeCell ref="F24:F49"/>
    <mergeCell ref="G24:I25"/>
    <mergeCell ref="M24:M26"/>
    <mergeCell ref="P24:P26"/>
    <mergeCell ref="S24:S26"/>
  </mergeCells>
  <conditionalFormatting sqref="D15:I15">
    <cfRule type="containsText" dxfId="15" priority="2" operator="containsText" text="Finalizado">
      <formula>NOT(ISERROR(SEARCH("Finalizado",D15)))</formula>
    </cfRule>
    <cfRule type="containsText" dxfId="14" priority="3" operator="containsText" text="No Planificado">
      <formula>NOT(ISERROR(SEARCH("No Planificado",D15)))</formula>
    </cfRule>
    <cfRule type="containsText" dxfId="13" priority="4" operator="containsText" text="A Tiempo">
      <formula>NOT(ISERROR(SEARCH("A Tiempo",D15)))</formula>
    </cfRule>
    <cfRule type="containsText" dxfId="12" priority="5" operator="containsText" text="Retrasado">
      <formula>NOT(ISERROR(SEARCH("Retrasado",D15)))</formula>
    </cfRule>
  </conditionalFormatting>
  <conditionalFormatting sqref="F7:F8">
    <cfRule type="iconSet" priority="9">
      <iconSet showValue="0">
        <cfvo type="percent" val="0"/>
        <cfvo type="num" val="2"/>
        <cfvo type="num" val="3"/>
      </iconSet>
    </cfRule>
  </conditionalFormatting>
  <conditionalFormatting sqref="F12 F14">
    <cfRule type="iconSet" priority="7">
      <iconSet showValue="0">
        <cfvo type="percent" val="0"/>
        <cfvo type="num" val="2"/>
        <cfvo type="num" val="3"/>
      </iconSet>
    </cfRule>
  </conditionalFormatting>
  <conditionalFormatting sqref="G7:I8">
    <cfRule type="iconSet" priority="8">
      <iconSet showValue="0">
        <cfvo type="percent" val="0"/>
        <cfvo type="num" val="2"/>
        <cfvo type="num" val="3"/>
      </iconSet>
    </cfRule>
  </conditionalFormatting>
  <conditionalFormatting sqref="G12:I12 G14:I14">
    <cfRule type="iconSet" priority="6">
      <iconSet showValue="0">
        <cfvo type="percent" val="0"/>
        <cfvo type="num" val="2"/>
        <cfvo type="num" val="3"/>
      </iconSet>
    </cfRule>
  </conditionalFormatting>
  <conditionalFormatting sqref="K24:L24 N24:O24 Q24:R24 T24:U24">
    <cfRule type="iconSet" priority="10">
      <iconSet showValue="0">
        <cfvo type="percent" val="0"/>
        <cfvo type="num" val="2"/>
        <cfvo type="num" val="3"/>
      </iconSet>
    </cfRule>
  </conditionalFormatting>
  <conditionalFormatting sqref="K25:L25">
    <cfRule type="containsText" dxfId="11" priority="20" operator="containsText" text="PENDIENTE">
      <formula>NOT(ISERROR(SEARCH("PENDIENTE",K25)))</formula>
    </cfRule>
    <cfRule type="containsText" dxfId="10" priority="21" operator="containsText" text="NO VALIDADO">
      <formula>NOT(ISERROR(SEARCH("NO VALIDADO",K25)))</formula>
    </cfRule>
    <cfRule type="containsText" dxfId="9" priority="22" operator="containsText" text="VALIDADO">
      <formula>NOT(ISERROR(SEARCH("VALIDADO",K25)))</formula>
    </cfRule>
  </conditionalFormatting>
  <conditionalFormatting sqref="N25:O25">
    <cfRule type="containsText" dxfId="8" priority="17" operator="containsText" text="PENDIENTE">
      <formula>NOT(ISERROR(SEARCH("PENDIENTE",N25)))</formula>
    </cfRule>
    <cfRule type="containsText" dxfId="7" priority="18" operator="containsText" text="NO VALIDADO">
      <formula>NOT(ISERROR(SEARCH("NO VALIDADO",N25)))</formula>
    </cfRule>
    <cfRule type="containsText" dxfId="6" priority="19" operator="containsText" text="VALIDADO">
      <formula>NOT(ISERROR(SEARCH("VALIDADO",N25)))</formula>
    </cfRule>
  </conditionalFormatting>
  <conditionalFormatting sqref="Q25:R25">
    <cfRule type="containsText" dxfId="5" priority="14" operator="containsText" text="PENDIENTE">
      <formula>NOT(ISERROR(SEARCH("PENDIENTE",Q25)))</formula>
    </cfRule>
    <cfRule type="containsText" dxfId="4" priority="15" operator="containsText" text="NO VALIDADO">
      <formula>NOT(ISERROR(SEARCH("NO VALIDADO",Q25)))</formula>
    </cfRule>
    <cfRule type="containsText" dxfId="3" priority="16" operator="containsText" text="VALIDADO">
      <formula>NOT(ISERROR(SEARCH("VALIDADO",Q25)))</formula>
    </cfRule>
  </conditionalFormatting>
  <conditionalFormatting sqref="T25:U25">
    <cfRule type="containsText" dxfId="2" priority="11" operator="containsText" text="PENDIENTE">
      <formula>NOT(ISERROR(SEARCH("PENDIENTE",T25)))</formula>
    </cfRule>
    <cfRule type="containsText" dxfId="1" priority="12" operator="containsText" text="NO VALIDADO">
      <formula>NOT(ISERROR(SEARCH("NO VALIDADO",T25)))</formula>
    </cfRule>
    <cfRule type="containsText" dxfId="0" priority="13" operator="containsText" text="VALIDADO">
      <formula>NOT(ISERROR(SEARCH("VALIDADO",T25)))</formula>
    </cfRule>
  </conditionalFormatting>
  <dataValidations count="6">
    <dataValidation type="list" allowBlank="1" showInputMessage="1" showErrorMessage="1" sqref="D10" xr:uid="{2EF96FFE-59E3-4687-A216-B4C1DFD4C66A}">
      <formula1>"No Cumple, Parcial,Cumple,Más que Cumple,Mejor Práctica"</formula1>
    </dataValidation>
    <dataValidation type="list" allowBlank="1" showInputMessage="1" showErrorMessage="1" sqref="S10 Q10" xr:uid="{B23C28F1-E207-490C-909A-B6F7DA34B03E}">
      <formula1>"Junio,Julio,Agosto,Septiembre,Octubre"</formula1>
    </dataValidation>
    <dataValidation type="list" allowBlank="1" showInputMessage="1" showErrorMessage="1" sqref="O10" xr:uid="{50016BEA-FA39-48B5-B349-18320CF810AF}">
      <formula1>"Alta,Baja,No Planificado"</formula1>
    </dataValidation>
    <dataValidation type="list" allowBlank="1" showInputMessage="1" showErrorMessage="1" sqref="AB14:AB15 R14:R15 N14:N15 V14:V15" xr:uid="{39CEB9E2-F7D3-4647-9ADD-CBC72F002BBD}">
      <formula1>"No Cumple, Parcial, Cumple, Más que Cumple, Mejor Práctica"</formula1>
    </dataValidation>
    <dataValidation type="list" allowBlank="1" showInputMessage="1" showErrorMessage="1" sqref="M12 Q12 U12" xr:uid="{5BDBC2AC-A727-4902-9380-9EEF8033A63F}">
      <formula1>"Mayo,Junio,Julio,Agosto,Septiembre,Octubre"</formula1>
    </dataValidation>
    <dataValidation type="list" allowBlank="1" showInputMessage="1" showErrorMessage="1" sqref="K14:K15 O14:O15 S14:S15" xr:uid="{C1581DFC-2274-4FFF-B162-DDF2BAEBEFBF}">
      <formula1>"No Iniciado, En Progreso,Finalizado"</formula1>
    </dataValidation>
  </dataValidations>
  <pageMargins left="0.511811024" right="0.511811024" top="0.78740157499999996" bottom="0.78740157499999996" header="0.31496062000000002" footer="0.31496062000000002"/>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 id="{E437C66E-2EC2-4595-8533-797DC3C06C5E}">
            <x14:iconSet iconSet="3Stars" showValue="0">
              <x14:cfvo type="percent">
                <xm:f>0</xm:f>
              </x14:cfvo>
              <x14:cfvo type="num">
                <xm:f>2</xm:f>
              </x14:cfvo>
              <x14:cfvo type="num">
                <xm:f>3</xm:f>
              </x14:cfvo>
            </x14:iconSet>
          </x14:cfRule>
          <xm:sqref>M10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BAE5-1A4A-4F1A-ACB2-ADBC8825C37C}">
  <sheetPr codeName="Planilha12"/>
  <dimension ref="A1:AM29"/>
  <sheetViews>
    <sheetView showGridLines="0" zoomScale="62" zoomScaleNormal="62" workbookViewId="0">
      <pane xSplit="5" ySplit="9" topLeftCell="F20" activePane="bottomRight" state="frozen"/>
      <selection activeCell="C16" sqref="C16"/>
      <selection pane="topRight" activeCell="C16" sqref="C16"/>
      <selection pane="bottomLeft" activeCell="C16" sqref="C16"/>
      <selection pane="bottomRight" activeCell="M22" sqref="M22"/>
    </sheetView>
  </sheetViews>
  <sheetFormatPr defaultColWidth="0" defaultRowHeight="15" zeroHeight="1" outlineLevelCol="1" x14ac:dyDescent="0.25"/>
  <cols>
    <col min="1" max="1" width="2.140625" customWidth="1"/>
    <col min="2" max="2" width="15.5703125" customWidth="1"/>
    <col min="3" max="3" width="4.85546875" customWidth="1"/>
    <col min="4" max="4" width="39.28515625" customWidth="1"/>
    <col min="5" max="5" width="10.42578125" customWidth="1"/>
    <col min="6" max="6" width="20.42578125" customWidth="1"/>
    <col min="7" max="7" width="11.140625" customWidth="1"/>
    <col min="8" max="11" width="5.85546875" customWidth="1" outlineLevel="1"/>
    <col min="12" max="12" width="20.5703125" customWidth="1"/>
    <col min="13" max="13" width="11.5703125" customWidth="1"/>
    <col min="14" max="14" width="10.85546875" customWidth="1"/>
    <col min="15" max="18" width="5.85546875" customWidth="1" outlineLevel="1"/>
    <col min="19" max="19" width="12.42578125" customWidth="1" outlineLevel="1"/>
    <col min="20" max="20" width="16.85546875" customWidth="1" outlineLevel="1"/>
    <col min="21" max="21" width="6.140625" customWidth="1" outlineLevel="1"/>
    <col min="22" max="25" width="6.7109375" customWidth="1" outlineLevel="1"/>
    <col min="26" max="26" width="20.5703125" customWidth="1"/>
    <col min="27" max="27" width="19.140625" customWidth="1"/>
    <col min="28" max="28" width="12.140625" customWidth="1"/>
    <col min="29" max="29" width="11.5703125" customWidth="1"/>
    <col min="30" max="33" width="5.85546875" customWidth="1" outlineLevel="1"/>
    <col min="34" max="34" width="9.140625" customWidth="1"/>
    <col min="35" max="39" width="0" hidden="1" customWidth="1"/>
    <col min="40" max="16384" width="9.140625" hidden="1"/>
  </cols>
  <sheetData>
    <row r="1" spans="1:34"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
      <c r="AG1" s="1"/>
      <c r="AH1" s="1"/>
    </row>
    <row r="2" spans="1:34" ht="43.5" x14ac:dyDescent="0.35">
      <c r="A2" s="1"/>
      <c r="B2" s="11"/>
      <c r="C2" s="11"/>
      <c r="D2" s="80" t="s">
        <v>0</v>
      </c>
      <c r="E2" s="80"/>
      <c r="F2" s="11"/>
      <c r="G2" s="11"/>
      <c r="H2" s="11"/>
      <c r="I2" s="11"/>
      <c r="J2" s="11"/>
      <c r="K2" s="11"/>
      <c r="L2" s="11"/>
      <c r="M2" s="11"/>
      <c r="N2" s="11"/>
      <c r="O2" s="11"/>
      <c r="P2" s="11"/>
      <c r="Q2" s="11"/>
      <c r="R2" s="11"/>
      <c r="S2" s="11"/>
      <c r="T2" s="11"/>
      <c r="U2" s="11"/>
      <c r="V2" s="11"/>
      <c r="W2" s="11"/>
      <c r="X2" s="11"/>
      <c r="Y2" s="11"/>
      <c r="Z2" s="11"/>
      <c r="AA2" s="11"/>
      <c r="AB2" s="11"/>
      <c r="AC2" s="11"/>
      <c r="AD2" s="11"/>
      <c r="AE2" s="11"/>
      <c r="AF2" s="1"/>
      <c r="AG2" s="1"/>
      <c r="AH2" s="1"/>
    </row>
    <row r="3" spans="1:34" ht="43.5" x14ac:dyDescent="0.25">
      <c r="A3" s="1"/>
      <c r="B3" s="10"/>
      <c r="C3" s="10"/>
      <c r="D3" s="81" t="s">
        <v>1</v>
      </c>
      <c r="E3" s="81"/>
      <c r="F3" s="295" t="s">
        <v>17</v>
      </c>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1"/>
      <c r="AG3" s="1"/>
      <c r="AH3" s="1"/>
    </row>
    <row r="4" spans="1:34" ht="7.5" customHeigh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ht="19.5" customHeight="1" x14ac:dyDescent="0.25">
      <c r="A5" s="1"/>
      <c r="B5" s="237" t="s">
        <v>45</v>
      </c>
      <c r="C5" s="237"/>
      <c r="D5" s="237"/>
      <c r="E5" s="1"/>
      <c r="F5" s="237" t="s">
        <v>46</v>
      </c>
      <c r="G5" s="237"/>
      <c r="H5" s="237"/>
      <c r="I5" s="237"/>
      <c r="J5" s="237"/>
      <c r="K5" s="1"/>
      <c r="L5" s="237" t="s">
        <v>26</v>
      </c>
      <c r="M5" s="237"/>
      <c r="N5" s="64"/>
      <c r="O5" s="64"/>
      <c r="P5" s="64"/>
      <c r="Q5" s="64"/>
      <c r="R5" s="64"/>
      <c r="S5" s="1"/>
      <c r="T5" s="1"/>
      <c r="U5" s="1"/>
      <c r="V5" s="1"/>
      <c r="W5" s="1"/>
      <c r="X5" s="1"/>
      <c r="Y5" s="1"/>
      <c r="Z5" s="237" t="s">
        <v>47</v>
      </c>
      <c r="AA5" s="237"/>
      <c r="AB5" s="64"/>
      <c r="AC5" s="64"/>
      <c r="AD5" s="64"/>
      <c r="AE5" s="64"/>
      <c r="AF5" s="64"/>
      <c r="AG5" s="1"/>
      <c r="AH5" s="1"/>
    </row>
    <row r="6" spans="1:34" ht="11.25" customHeight="1" x14ac:dyDescent="0.25">
      <c r="A6" s="1"/>
      <c r="B6" s="1"/>
      <c r="C6" s="1"/>
      <c r="D6" s="1"/>
      <c r="E6" s="1"/>
      <c r="F6" s="1"/>
      <c r="G6" s="1"/>
      <c r="H6" s="1"/>
      <c r="I6" s="1"/>
      <c r="J6" s="1"/>
      <c r="K6" s="1"/>
      <c r="L6" s="1"/>
      <c r="M6" s="1"/>
      <c r="N6" s="1"/>
      <c r="O6" s="1"/>
      <c r="P6" s="1"/>
      <c r="Q6" s="1"/>
      <c r="R6" s="1"/>
      <c r="S6" s="1"/>
      <c r="T6" s="1"/>
      <c r="U6" s="144">
        <v>6</v>
      </c>
      <c r="V6" s="144">
        <v>7</v>
      </c>
      <c r="W6" s="144">
        <v>8</v>
      </c>
      <c r="X6" s="144">
        <v>9</v>
      </c>
      <c r="Y6" s="144">
        <v>10</v>
      </c>
      <c r="Z6" s="1"/>
      <c r="AA6" s="1"/>
      <c r="AB6" s="1"/>
      <c r="AC6" s="1"/>
      <c r="AD6" s="1"/>
      <c r="AE6" s="1"/>
      <c r="AF6" s="1"/>
      <c r="AG6" s="1"/>
      <c r="AH6" s="1"/>
    </row>
    <row r="7" spans="1:34" ht="22.5" customHeight="1" x14ac:dyDescent="0.25">
      <c r="A7" s="1"/>
      <c r="B7" s="239" t="s">
        <v>50</v>
      </c>
      <c r="C7" s="239" t="s">
        <v>51</v>
      </c>
      <c r="D7" s="239" t="s">
        <v>52</v>
      </c>
      <c r="E7" s="239" t="s">
        <v>53</v>
      </c>
      <c r="F7" s="240" t="s">
        <v>54</v>
      </c>
      <c r="G7" s="240" t="s">
        <v>55</v>
      </c>
      <c r="H7" s="241" t="s">
        <v>56</v>
      </c>
      <c r="I7" s="241" t="s">
        <v>57</v>
      </c>
      <c r="J7" s="241" t="s">
        <v>58</v>
      </c>
      <c r="K7" s="241" t="s">
        <v>59</v>
      </c>
      <c r="L7" s="238" t="s">
        <v>60</v>
      </c>
      <c r="M7" s="238" t="s">
        <v>61</v>
      </c>
      <c r="N7" s="238" t="s">
        <v>62</v>
      </c>
      <c r="O7" s="243" t="s">
        <v>56</v>
      </c>
      <c r="P7" s="243" t="s">
        <v>57</v>
      </c>
      <c r="Q7" s="243" t="s">
        <v>58</v>
      </c>
      <c r="R7" s="243" t="s">
        <v>59</v>
      </c>
      <c r="S7" s="244" t="s">
        <v>63</v>
      </c>
      <c r="T7" s="244" t="s">
        <v>64</v>
      </c>
      <c r="U7" s="242" t="s">
        <v>65</v>
      </c>
      <c r="V7" s="242" t="s">
        <v>66</v>
      </c>
      <c r="W7" s="242" t="s">
        <v>67</v>
      </c>
      <c r="X7" s="242" t="s">
        <v>68</v>
      </c>
      <c r="Y7" s="242" t="s">
        <v>69</v>
      </c>
      <c r="Z7" s="257" t="s">
        <v>70</v>
      </c>
      <c r="AA7" s="257" t="s">
        <v>71</v>
      </c>
      <c r="AB7" s="257" t="s">
        <v>72</v>
      </c>
      <c r="AC7" s="257" t="s">
        <v>73</v>
      </c>
      <c r="AD7" s="245" t="s">
        <v>56</v>
      </c>
      <c r="AE7" s="245" t="s">
        <v>57</v>
      </c>
      <c r="AF7" s="245" t="s">
        <v>58</v>
      </c>
      <c r="AG7" s="245" t="s">
        <v>59</v>
      </c>
      <c r="AH7" s="1"/>
    </row>
    <row r="8" spans="1:34" ht="15" customHeight="1" x14ac:dyDescent="0.25">
      <c r="A8" s="1"/>
      <c r="B8" s="239"/>
      <c r="C8" s="239"/>
      <c r="D8" s="239"/>
      <c r="E8" s="239"/>
      <c r="F8" s="240"/>
      <c r="G8" s="240"/>
      <c r="H8" s="241"/>
      <c r="I8" s="241"/>
      <c r="J8" s="241"/>
      <c r="K8" s="241"/>
      <c r="L8" s="238"/>
      <c r="M8" s="238"/>
      <c r="N8" s="238"/>
      <c r="O8" s="243"/>
      <c r="P8" s="243"/>
      <c r="Q8" s="243"/>
      <c r="R8" s="243"/>
      <c r="S8" s="244"/>
      <c r="T8" s="244"/>
      <c r="U8" s="242"/>
      <c r="V8" s="242"/>
      <c r="W8" s="242"/>
      <c r="X8" s="242"/>
      <c r="Y8" s="242"/>
      <c r="Z8" s="257"/>
      <c r="AA8" s="257"/>
      <c r="AB8" s="257"/>
      <c r="AC8" s="257"/>
      <c r="AD8" s="245"/>
      <c r="AE8" s="245"/>
      <c r="AF8" s="245"/>
      <c r="AG8" s="245"/>
      <c r="AH8" s="1"/>
    </row>
    <row r="9" spans="1:34" ht="15" customHeight="1" x14ac:dyDescent="0.25">
      <c r="A9" s="1"/>
      <c r="B9" s="119" t="s">
        <v>74</v>
      </c>
      <c r="C9" s="119" t="s">
        <v>51</v>
      </c>
      <c r="D9" s="119" t="s">
        <v>52</v>
      </c>
      <c r="E9" s="119" t="s">
        <v>53</v>
      </c>
      <c r="F9" s="120" t="s">
        <v>54</v>
      </c>
      <c r="G9" s="120" t="s">
        <v>75</v>
      </c>
      <c r="H9" s="121" t="s">
        <v>56</v>
      </c>
      <c r="I9" s="121" t="s">
        <v>57</v>
      </c>
      <c r="J9" s="121" t="s">
        <v>58</v>
      </c>
      <c r="K9" s="121" t="s">
        <v>59</v>
      </c>
      <c r="L9" s="122" t="s">
        <v>60</v>
      </c>
      <c r="M9" s="122" t="s">
        <v>76</v>
      </c>
      <c r="N9" s="122" t="s">
        <v>77</v>
      </c>
      <c r="O9" s="137" t="s">
        <v>56</v>
      </c>
      <c r="P9" s="137" t="s">
        <v>57</v>
      </c>
      <c r="Q9" s="137" t="s">
        <v>58</v>
      </c>
      <c r="R9" s="137" t="s">
        <v>59</v>
      </c>
      <c r="S9" s="138" t="s">
        <v>63</v>
      </c>
      <c r="T9" s="138" t="s">
        <v>64</v>
      </c>
      <c r="U9" s="139" t="s">
        <v>65</v>
      </c>
      <c r="V9" s="139" t="s">
        <v>66</v>
      </c>
      <c r="W9" s="139" t="s">
        <v>67</v>
      </c>
      <c r="X9" s="139" t="s">
        <v>68</v>
      </c>
      <c r="Y9" s="139" t="s">
        <v>69</v>
      </c>
      <c r="Z9" s="123" t="s">
        <v>70</v>
      </c>
      <c r="AA9" s="123" t="s">
        <v>71</v>
      </c>
      <c r="AB9" s="123" t="s">
        <v>72</v>
      </c>
      <c r="AC9" s="123" t="s">
        <v>73</v>
      </c>
      <c r="AD9" s="124" t="s">
        <v>56</v>
      </c>
      <c r="AE9" s="124" t="s">
        <v>57</v>
      </c>
      <c r="AF9" s="124" t="s">
        <v>58</v>
      </c>
      <c r="AG9" s="124" t="s">
        <v>59</v>
      </c>
      <c r="AH9" s="1"/>
    </row>
    <row r="10" spans="1:34" ht="47.25" customHeight="1" x14ac:dyDescent="0.25">
      <c r="A10" s="1"/>
      <c r="B10" s="115" t="s">
        <v>78</v>
      </c>
      <c r="C10" s="100" t="s">
        <v>79</v>
      </c>
      <c r="D10" s="73" t="s">
        <v>80</v>
      </c>
      <c r="E10" s="72">
        <v>0.01</v>
      </c>
      <c r="F10" s="76" t="str">
        <f>'Estrategia 1'!$D$7</f>
        <v>Parcial</v>
      </c>
      <c r="G10" s="88">
        <f t="shared" ref="G10:G25" si="0">IF($F10="Não cumpre",0,IF($F10="Parcial",$E10*0.4,IF($F10="Cumpre",$E10*0.7,IF($F10="Mais que cumpre",$E10*0.85,IF($F10="Melhor Prática",E10,0)))))</f>
        <v>4.0000000000000001E-3</v>
      </c>
      <c r="H10" s="140">
        <f>'Estrategia 1'!$F$7</f>
        <v>3</v>
      </c>
      <c r="I10" s="140" t="str">
        <f>'Estrategia 1'!$G$7</f>
        <v/>
      </c>
      <c r="J10" s="140" t="str">
        <f>'Estrategia 1'!$H$7</f>
        <v/>
      </c>
      <c r="K10" s="140" t="str">
        <f>'Estrategia 1'!$I$7</f>
        <v/>
      </c>
      <c r="L10" s="76" t="str">
        <f>IF('Estrategia 1'!$D$10="","",'Estrategia 1'!$D$10)</f>
        <v>Mais que Cumpre</v>
      </c>
      <c r="M10" s="77">
        <f t="shared" ref="M10:M25" si="1">IF($L10="Não cumpre",0,IF($L10="Parcial",$E10*0.4,IF($L10="Cumpre",$E10*0.7,IF($L10="Mais que cumpre",$E10*0.85,IF($L10="Melhor Prática",E10,0)))))</f>
        <v>8.5000000000000006E-3</v>
      </c>
      <c r="N10" s="78">
        <f>IFERROR(G10/M10,"")</f>
        <v>0.47058823529411764</v>
      </c>
      <c r="O10" s="140" t="str">
        <f>'Estrategia 1'!$F$10</f>
        <v>-</v>
      </c>
      <c r="P10" s="140" t="str">
        <f>'Estrategia 1'!$G$10</f>
        <v>D</v>
      </c>
      <c r="Q10" s="140" t="str">
        <f>'Estrategia 1'!$H$10</f>
        <v>-</v>
      </c>
      <c r="R10" s="140" t="str">
        <f>'Estrategia 1'!$I$10</f>
        <v>D</v>
      </c>
      <c r="S10" s="153" t="str">
        <f>IF('Estrategia 1'!$M$10="","",'Estrategia 1'!$M$10)</f>
        <v/>
      </c>
      <c r="T10" s="104" t="str">
        <f>IF('Estrategia 1'!$O$10="","",'Estrategia 1'!$O$10)</f>
        <v/>
      </c>
      <c r="U10" s="154">
        <f>IF('Estrategia 1'!$Q$9&lt;=Estratégia!$U$6,0.5,0)+IF('Estrategia 1'!$S$9&gt;=Estratégia!$U$6,0.5,0)</f>
        <v>0.5</v>
      </c>
      <c r="V10" s="155">
        <f>IF('Estrategia 1'!$Q$9&lt;=Estratégia!$V$6,0.5,0)+IF('Estrategia 1'!$S$9&gt;=Estratégia!$V$6,0.5,0)</f>
        <v>0.5</v>
      </c>
      <c r="W10" s="155">
        <f>IF('Estrategia 1'!$Q$9&lt;=Estratégia!$W$6,0.5,0)+IF('Estrategia 1'!$S$9&gt;=Estratégia!$W$6,0.5,0)</f>
        <v>0.5</v>
      </c>
      <c r="X10" s="155">
        <f>IF('Estrategia 1'!$Q$9&lt;=Estratégia!$X$6,0.5,0)+IF('Estrategia 1'!$S$9&gt;=Estratégia!$X$6,0.5,0)</f>
        <v>0.5</v>
      </c>
      <c r="Y10" s="155">
        <f>IF('Estrategia 1'!$Q$9&lt;=Estratégia!$Y$6,0.5,0)+IF('Estrategia 1'!$S$9&gt;=Estratégia!$Y$6,0.5,0)</f>
        <v>0.5</v>
      </c>
      <c r="Z10" s="79" t="str">
        <f ca="1">IF(OR(AA10&lt;&gt;"",'Estrategia 1'!$D$15="No Planificado"),'Estrategia 1'!$D$15,IF(AND(AA10="",MONTH(TODAY())&gt;'Estrategia 1'!$S$9),"Retrasado","A Tiempo"))</f>
        <v>No Planificado</v>
      </c>
      <c r="AA10" s="76" t="str">
        <f>IF('Estrategia 1'!$D$12="","",'Estrategia 1'!$D$12)</f>
        <v>Melhor Prática</v>
      </c>
      <c r="AB10" s="77">
        <f t="shared" ref="AB10:AB25" si="2">IF($AA10="Não cumpre",0,IF($AA10="Parcial",$E10*0.4,IF($AA10="Cumpre",$E10*0.7,IF($AA10="Mais que cumpre",$E10*0.85,IF($AA10="Melhor Prática",E10,0)))))</f>
        <v>0.01</v>
      </c>
      <c r="AC10" s="78">
        <f>IFERROR(AB10/M10,"")</f>
        <v>1.1764705882352942</v>
      </c>
      <c r="AD10" s="140">
        <f>'Estrategia 1'!$F$12</f>
        <v>3</v>
      </c>
      <c r="AE10" s="140">
        <f>'Estrategia 1'!$G$12</f>
        <v>3</v>
      </c>
      <c r="AF10" s="140">
        <f>'Estrategia 1'!$H$12</f>
        <v>3</v>
      </c>
      <c r="AG10" s="140">
        <f>'Estrategia 1'!$I$12</f>
        <v>3</v>
      </c>
      <c r="AH10" s="1"/>
    </row>
    <row r="11" spans="1:34" ht="45.75" customHeight="1" x14ac:dyDescent="0.25">
      <c r="A11" s="1"/>
      <c r="B11" s="115" t="s">
        <v>78</v>
      </c>
      <c r="C11" s="100" t="s">
        <v>81</v>
      </c>
      <c r="D11" s="71" t="s">
        <v>82</v>
      </c>
      <c r="E11" s="74">
        <v>0.01</v>
      </c>
      <c r="F11" s="76" t="str">
        <f>'Estrategia 2'!$D$7</f>
        <v>Melhor Prática</v>
      </c>
      <c r="G11" s="88">
        <f t="shared" si="0"/>
        <v>0.01</v>
      </c>
      <c r="H11" s="140">
        <f>'Estrategia 2'!$F$7</f>
        <v>3</v>
      </c>
      <c r="I11" s="140">
        <f>'Estrategia 2'!$G$7</f>
        <v>3</v>
      </c>
      <c r="J11" s="140">
        <f>'Estrategia 2'!$H$7</f>
        <v>3</v>
      </c>
      <c r="K11" s="140">
        <f>'Estrategia 2'!$I$7</f>
        <v>3</v>
      </c>
      <c r="L11" s="76" t="str">
        <f>IF('Estrategia 2'!$D$10="","",'Estrategia 2'!$D$10)</f>
        <v>Melhor Prática</v>
      </c>
      <c r="M11" s="77">
        <f t="shared" si="1"/>
        <v>0.01</v>
      </c>
      <c r="N11" s="78">
        <f t="shared" ref="N11:N25" si="3">IFERROR(G11/M11,"")</f>
        <v>1</v>
      </c>
      <c r="O11" s="140" t="str">
        <f>'Estrategia 2'!$F$10</f>
        <v>-</v>
      </c>
      <c r="P11" s="140" t="str">
        <f>'Estrategia 2'!$G$10</f>
        <v>-</v>
      </c>
      <c r="Q11" s="140" t="str">
        <f>'Estrategia 2'!$H$10</f>
        <v>-</v>
      </c>
      <c r="R11" s="140" t="str">
        <f>'Estrategia 2'!$I$10</f>
        <v>-</v>
      </c>
      <c r="S11" s="156">
        <f>IF('Estrategia 2'!$M$10="","",'Estrategia 2'!$M$10)</f>
        <v>1</v>
      </c>
      <c r="T11" s="104" t="str">
        <f>IF('Estrategia 2'!$O$10="","",'Estrategia 2'!$O$10)</f>
        <v>No Planificado</v>
      </c>
      <c r="U11" s="154">
        <f>IF('Estrategia 2'!$Q$9&lt;=Estratégia!$U$6,0.5,0)+IF('Estrategia 2'!$S$9&gt;=Estratégia!$U$6,0.5,0)</f>
        <v>0.5</v>
      </c>
      <c r="V11" s="155">
        <f>IF('Estrategia 2'!$Q$9&lt;=Estratégia!$V$6,0.5,0)+IF('Estrategia 2'!$S$9&gt;=Estratégia!$V$6,0.5,0)</f>
        <v>0.5</v>
      </c>
      <c r="W11" s="155">
        <f>IF('Estrategia 2'!$Q$9&lt;=Estratégia!$W$6,0.5,0)+IF('Estrategia 2'!$S$9&gt;=Estratégia!$W$6,0.5,0)</f>
        <v>0.5</v>
      </c>
      <c r="X11" s="155">
        <f>IF('Estrategia 2'!$Q$9&lt;=Estratégia!$X$6,0.5,0)+IF('Estrategia 2'!$S$9&gt;=Estratégia!$X$6,0.5,0)</f>
        <v>0.5</v>
      </c>
      <c r="Y11" s="155">
        <f>IF('Estrategia 2'!$Q$9&lt;=Estratégia!$Y$6,0.5,0)+IF('Estrategia 2'!$S$9&gt;=Estratégia!$Y$6,0.5,0)</f>
        <v>0.5</v>
      </c>
      <c r="Z11" s="79" t="str">
        <f ca="1">IF(OR(AA11&lt;&gt;"",'Estrategia 2'!$D$15="No Planificado"),'Estrategia 2'!$D$15,IF(AND(AA11="",MONTH(TODAY())&gt;'Estrategia 2'!$S$9),"Retrasado","A Tiempo"))</f>
        <v>A Tiempo</v>
      </c>
      <c r="AA11" s="76" t="str">
        <f>IF('Estrategia 2'!$D$12="","",'Estrategia 2'!$D$12)</f>
        <v/>
      </c>
      <c r="AB11" s="77">
        <f t="shared" si="2"/>
        <v>0</v>
      </c>
      <c r="AC11" s="78">
        <f t="shared" ref="AC11:AC25" si="4">IFERROR(AB11/M11,"")</f>
        <v>0</v>
      </c>
      <c r="AD11" s="140" t="str">
        <f>'Estrategia 2'!$F$12</f>
        <v/>
      </c>
      <c r="AE11" s="140" t="str">
        <f>'Estrategia 2'!$G$12</f>
        <v/>
      </c>
      <c r="AF11" s="140" t="str">
        <f>'Estrategia 2'!$H$12</f>
        <v/>
      </c>
      <c r="AG11" s="140" t="str">
        <f>'Estrategia 2'!$I$12</f>
        <v/>
      </c>
      <c r="AH11" s="1"/>
    </row>
    <row r="12" spans="1:34" ht="45.75" customHeight="1" x14ac:dyDescent="0.25">
      <c r="A12" s="1"/>
      <c r="B12" s="115" t="s">
        <v>78</v>
      </c>
      <c r="C12" s="100" t="s">
        <v>83</v>
      </c>
      <c r="D12" s="73" t="s">
        <v>84</v>
      </c>
      <c r="E12" s="72">
        <v>0.01</v>
      </c>
      <c r="F12" s="76" t="str">
        <f>'Estrategia 3'!$D$7</f>
        <v>Parcial</v>
      </c>
      <c r="G12" s="88">
        <f t="shared" si="0"/>
        <v>4.0000000000000001E-3</v>
      </c>
      <c r="H12" s="140">
        <f>'Estrategia 3'!$F$7</f>
        <v>3</v>
      </c>
      <c r="I12" s="140">
        <f>'Estrategia 3'!$G$7</f>
        <v>2</v>
      </c>
      <c r="J12" s="140">
        <f>'Estrategia 3'!$H$7</f>
        <v>2</v>
      </c>
      <c r="K12" s="140" t="str">
        <f>'Estrategia 3'!$I$7</f>
        <v/>
      </c>
      <c r="L12" s="76" t="str">
        <f>IF('Estrategia 3'!$D$10="","",'Estrategia 3'!$D$10)</f>
        <v>Mais que Cumpre</v>
      </c>
      <c r="M12" s="77">
        <f t="shared" si="1"/>
        <v>8.5000000000000006E-3</v>
      </c>
      <c r="N12" s="78">
        <f t="shared" si="3"/>
        <v>0.47058823529411764</v>
      </c>
      <c r="O12" s="140" t="str">
        <f>'Estrategia 3'!$F$10</f>
        <v>-</v>
      </c>
      <c r="P12" s="140" t="str">
        <f>'Estrategia 3'!$G$10</f>
        <v>-</v>
      </c>
      <c r="Q12" s="140" t="str">
        <f>'Estrategia 3'!$H$10</f>
        <v>-</v>
      </c>
      <c r="R12" s="140" t="str">
        <f>'Estrategia 3'!$I$10</f>
        <v>D</v>
      </c>
      <c r="S12" s="156">
        <f>IF('Estrategia 3'!$M$10="","",'Estrategia 3'!$M$10)</f>
        <v>3</v>
      </c>
      <c r="T12" s="104" t="str">
        <f>IF('Estrategia 3'!$O$10="","",'Estrategia 3'!$O$10)</f>
        <v>Alta</v>
      </c>
      <c r="U12" s="154">
        <f>IF('Estrategia 3'!$Q$9&lt;=Estratégia!$U$6,0.5,0)+IF('Estrategia 3'!$S$9&gt;=Estratégia!$U$6,0.5,0)</f>
        <v>0.5</v>
      </c>
      <c r="V12" s="155">
        <f>IF('Estrategia 3'!$Q$9&lt;=Estratégia!$V$6,0.5,0)+IF('Estrategia 3'!$S$9&gt;=Estratégia!$V$6,0.5,0)</f>
        <v>0.5</v>
      </c>
      <c r="W12" s="155">
        <f>IF('Estrategia 3'!$Q$9&lt;=Estratégia!$W$6,0.5,0)+IF('Estrategia 3'!$S$9&gt;=Estratégia!$W$6,0.5,0)</f>
        <v>1</v>
      </c>
      <c r="X12" s="155">
        <f>IF('Estrategia 3'!$Q$9&lt;=Estratégia!$X$6,0.5,0)+IF('Estrategia 3'!$S$9&gt;=Estratégia!$X$6,0.5,0)</f>
        <v>1</v>
      </c>
      <c r="Y12" s="155">
        <f>IF('Estrategia 3'!$Q$9&lt;=Estratégia!$Y$6,0.5,0)+IF('Estrategia 3'!$S$9&gt;=Estratégia!$Y$6,0.5,0)</f>
        <v>1</v>
      </c>
      <c r="Z12" s="79" t="str">
        <f ca="1">IF(OR(AA12&lt;&gt;"",'Estrategia 3'!$D$15="No Planificado"),'Estrategia 3'!$D$15,IF(AND(AA12="",MONTH(TODAY())&gt;'Estrategia 3'!$S$9),"Retrasado","A Tiempo"))</f>
        <v>A Tiempo</v>
      </c>
      <c r="AA12" s="76" t="str">
        <f>IF('Estrategia 3'!$D$12="","",'Estrategia 3'!$D$12)</f>
        <v>Mais que cumpre</v>
      </c>
      <c r="AB12" s="77">
        <f t="shared" si="2"/>
        <v>8.5000000000000006E-3</v>
      </c>
      <c r="AC12" s="78">
        <f t="shared" si="4"/>
        <v>1</v>
      </c>
      <c r="AD12" s="140">
        <f>'Estrategia 3'!$F$12</f>
        <v>3</v>
      </c>
      <c r="AE12" s="140">
        <f>'Estrategia 3'!$G$12</f>
        <v>3</v>
      </c>
      <c r="AF12" s="140">
        <f>'Estrategia 3'!$H$12</f>
        <v>3</v>
      </c>
      <c r="AG12" s="140" t="str">
        <f>'Estrategia 3'!$I$12</f>
        <v/>
      </c>
      <c r="AH12" s="1"/>
    </row>
    <row r="13" spans="1:34" ht="45.75" customHeight="1" x14ac:dyDescent="0.25">
      <c r="A13" s="1"/>
      <c r="B13" s="115" t="s">
        <v>78</v>
      </c>
      <c r="C13" s="100" t="s">
        <v>85</v>
      </c>
      <c r="D13" s="71" t="s">
        <v>86</v>
      </c>
      <c r="E13" s="74">
        <v>0.02</v>
      </c>
      <c r="F13" s="76" t="str">
        <f>'Estrategia 4'!$D$7</f>
        <v>Parcial</v>
      </c>
      <c r="G13" s="88">
        <f t="shared" si="0"/>
        <v>8.0000000000000002E-3</v>
      </c>
      <c r="H13" s="140">
        <f>'Estrategia 4'!$F$7</f>
        <v>3</v>
      </c>
      <c r="I13" s="140">
        <f>'Estrategia 4'!$G$7</f>
        <v>1</v>
      </c>
      <c r="J13" s="140" t="str">
        <f>'Estrategia 4'!$H$7</f>
        <v/>
      </c>
      <c r="K13" s="140" t="str">
        <f>'Estrategia 4'!$I$7</f>
        <v/>
      </c>
      <c r="L13" s="76" t="str">
        <f>IF('Estrategia 4'!$D$10="","",'Estrategia 4'!$D$10)</f>
        <v>Melhor Prática</v>
      </c>
      <c r="M13" s="77">
        <f t="shared" si="1"/>
        <v>0.02</v>
      </c>
      <c r="N13" s="78">
        <f t="shared" si="3"/>
        <v>0.4</v>
      </c>
      <c r="O13" s="140" t="str">
        <f>'Estrategia 4'!$F$10</f>
        <v>-</v>
      </c>
      <c r="P13" s="140" t="str">
        <f>'Estrategia 4'!$G$10</f>
        <v>D</v>
      </c>
      <c r="Q13" s="140" t="str">
        <f>'Estrategia 4'!$H$10</f>
        <v>-</v>
      </c>
      <c r="R13" s="140" t="str">
        <f>'Estrategia 4'!$I$10</f>
        <v>D</v>
      </c>
      <c r="S13" s="156">
        <f>IF('Estrategia 4'!$M$10="","",'Estrategia 4'!$M$10)</f>
        <v>3</v>
      </c>
      <c r="T13" s="104" t="str">
        <f>IF('Estrategia 4'!$O$10="","",'Estrategia 4'!$O$10)</f>
        <v>Alta</v>
      </c>
      <c r="U13" s="154">
        <f>IF('Estrategia 4'!$Q$9&lt;=Estratégia!$U$6,0.5,0)+IF('Estrategia 4'!$S$9&gt;=Estratégia!$U$6,0.5,0)</f>
        <v>0.5</v>
      </c>
      <c r="V13" s="155">
        <f>IF('Estrategia 4'!$Q$9&lt;=Estratégia!$V$6,0.5,0)+IF('Estrategia 4'!$S$9&gt;=Estratégia!$V$6,0.5,0)</f>
        <v>0.5</v>
      </c>
      <c r="W13" s="155">
        <f>IF('Estrategia 4'!$Q$9&lt;=Estratégia!$W$6,0.5,0)+IF('Estrategia 4'!$S$9&gt;=Estratégia!$W$6,0.5,0)</f>
        <v>0.5</v>
      </c>
      <c r="X13" s="155">
        <f>IF('Estrategia 4'!$Q$9&lt;=Estratégia!$X$6,0.5,0)+IF('Estrategia 4'!$S$9&gt;=Estratégia!$X$6,0.5,0)</f>
        <v>0.5</v>
      </c>
      <c r="Y13" s="155">
        <f>IF('Estrategia 4'!$Q$9&lt;=Estratégia!$Y$6,0.5,0)+IF('Estrategia 4'!$S$9&gt;=Estratégia!$Y$6,0.5,0)</f>
        <v>0.5</v>
      </c>
      <c r="Z13" s="79" t="str">
        <f ca="1">IF(OR(AA13&lt;&gt;"",'Estrategia 4'!$D$15="No Planificado"),'Estrategia 4'!$D$15,IF(AND(AA13="",MONTH(TODAY())&gt;'Estrategia 4'!$S$9),"Retrasado","A Tiempo"))</f>
        <v>A Tiempo</v>
      </c>
      <c r="AA13" s="76" t="str">
        <f>IF('Estrategia 4'!$D$12="","",'Estrategia 4'!$D$12)</f>
        <v>Cumpre</v>
      </c>
      <c r="AB13" s="77">
        <f t="shared" si="2"/>
        <v>1.3999999999999999E-2</v>
      </c>
      <c r="AC13" s="78">
        <f t="shared" si="4"/>
        <v>0.7</v>
      </c>
      <c r="AD13" s="140">
        <f>'Estrategia 4'!$F$12</f>
        <v>3</v>
      </c>
      <c r="AE13" s="140">
        <f>'Estrategia 4'!$G$12</f>
        <v>3</v>
      </c>
      <c r="AF13" s="140">
        <f>'Estrategia 4'!$H$12</f>
        <v>2</v>
      </c>
      <c r="AG13" s="140">
        <f>'Estrategia 4'!$I$12</f>
        <v>1</v>
      </c>
      <c r="AH13" s="1"/>
    </row>
    <row r="14" spans="1:34" ht="45.75" customHeight="1" x14ac:dyDescent="0.25">
      <c r="A14" s="1"/>
      <c r="B14" s="115" t="s">
        <v>87</v>
      </c>
      <c r="C14" s="100" t="s">
        <v>88</v>
      </c>
      <c r="D14" s="73" t="s">
        <v>89</v>
      </c>
      <c r="E14" s="72">
        <v>1.4999999999999999E-2</v>
      </c>
      <c r="F14" s="76" t="str">
        <f>'Estrategia 5'!$D$7</f>
        <v>Cumpre</v>
      </c>
      <c r="G14" s="88">
        <f t="shared" si="0"/>
        <v>1.0499999999999999E-2</v>
      </c>
      <c r="H14" s="140">
        <f>'Estrategia 5'!$F$7</f>
        <v>3</v>
      </c>
      <c r="I14" s="140">
        <f>'Estrategia 5'!$G$7</f>
        <v>3</v>
      </c>
      <c r="J14" s="140">
        <f>'Estrategia 5'!$H$7</f>
        <v>2</v>
      </c>
      <c r="K14" s="140">
        <f>'Estrategia 5'!$I$7</f>
        <v>3</v>
      </c>
      <c r="L14" s="76" t="str">
        <f>IF('Estrategia 5'!$D$10="","",'Estrategia 5'!$D$10)</f>
        <v>Melhor Prática</v>
      </c>
      <c r="M14" s="77">
        <f t="shared" si="1"/>
        <v>1.4999999999999999E-2</v>
      </c>
      <c r="N14" s="78">
        <f t="shared" si="3"/>
        <v>0.7</v>
      </c>
      <c r="O14" s="140" t="str">
        <f>'Estrategia 5'!$F$10</f>
        <v>-</v>
      </c>
      <c r="P14" s="140" t="str">
        <f>'Estrategia 5'!$G$10</f>
        <v>D</v>
      </c>
      <c r="Q14" s="140" t="str">
        <f>'Estrategia 5'!$H$10</f>
        <v>-</v>
      </c>
      <c r="R14" s="140" t="str">
        <f>'Estrategia 5'!$I$10</f>
        <v>-</v>
      </c>
      <c r="S14" s="156">
        <f>IF('Estrategia 5'!$M$10="","",'Estrategia 5'!$M$10)</f>
        <v>2</v>
      </c>
      <c r="T14" s="104" t="str">
        <f>IF('Estrategia 5'!$O$10="","",'Estrategia 5'!$O$10)</f>
        <v>No Planificado</v>
      </c>
      <c r="U14" s="154">
        <f>IF('Estrategia 5'!$Q$9&lt;=Estratégia!$U$6,0.5,0)+IF('Estrategia 5'!$S$9&gt;=Estratégia!$U$6,0.5,0)</f>
        <v>0.5</v>
      </c>
      <c r="V14" s="155">
        <f>IF('Estrategia 5'!$Q$9&lt;=Estratégia!$V$6,0.5,0)+IF('Estrategia 5'!$S$9&gt;=Estratégia!$V$6,0.5,0)</f>
        <v>0.5</v>
      </c>
      <c r="W14" s="155">
        <f>IF('Estrategia 5'!$Q$9&lt;=Estratégia!$W$6,0.5,0)+IF('Estrategia 5'!$S$9&gt;=Estratégia!$W$6,0.5,0)</f>
        <v>0.5</v>
      </c>
      <c r="X14" s="155">
        <f>IF('Estrategia 5'!$Q$9&lt;=Estratégia!$X$6,0.5,0)+IF('Estrategia 5'!$S$9&gt;=Estratégia!$X$6,0.5,0)</f>
        <v>0.5</v>
      </c>
      <c r="Y14" s="155">
        <f>IF('Estrategia 5'!$Q$9&lt;=Estratégia!$Y$6,0.5,0)+IF('Estrategia 5'!$S$9&gt;=Estratégia!$Y$6,0.5,0)</f>
        <v>0.5</v>
      </c>
      <c r="Z14" s="79" t="str">
        <f ca="1">IF(OR(AA14&lt;&gt;"",'Estrategia 5'!$D$15="No Planificado"),'Estrategia 5'!$D$15,IF(AND(AA14="",MONTH(TODAY())&gt;'Estrategia 5'!$S$9),"Retrasado","A Tiempo"))</f>
        <v>Retrasado</v>
      </c>
      <c r="AA14" s="76" t="str">
        <f>IF('Estrategia 5'!$D$12="","",'Estrategia 5'!$D$12)</f>
        <v>Melhor Prática</v>
      </c>
      <c r="AB14" s="77">
        <f t="shared" si="2"/>
        <v>1.4999999999999999E-2</v>
      </c>
      <c r="AC14" s="78">
        <f t="shared" si="4"/>
        <v>1</v>
      </c>
      <c r="AD14" s="140">
        <f>'Estrategia 5'!$F$12</f>
        <v>3</v>
      </c>
      <c r="AE14" s="140">
        <f>'Estrategia 5'!$G$12</f>
        <v>3</v>
      </c>
      <c r="AF14" s="140">
        <f>'Estrategia 5'!$H$12</f>
        <v>3</v>
      </c>
      <c r="AG14" s="140">
        <f>'Estrategia 5'!$I$12</f>
        <v>3</v>
      </c>
      <c r="AH14" s="1"/>
    </row>
    <row r="15" spans="1:34" ht="45.75" customHeight="1" x14ac:dyDescent="0.25">
      <c r="A15" s="1"/>
      <c r="B15" s="115" t="s">
        <v>87</v>
      </c>
      <c r="C15" s="100" t="s">
        <v>90</v>
      </c>
      <c r="D15" s="71" t="s">
        <v>91</v>
      </c>
      <c r="E15" s="74">
        <v>1.4999999999999999E-2</v>
      </c>
      <c r="F15" s="76" t="str">
        <f>'Estrategia 6'!$D$7</f>
        <v>Cumpre</v>
      </c>
      <c r="G15" s="88">
        <f t="shared" si="0"/>
        <v>1.0499999999999999E-2</v>
      </c>
      <c r="H15" s="140">
        <f>'Estrategia 6'!$F$7</f>
        <v>3</v>
      </c>
      <c r="I15" s="140">
        <f>'Estrategia 6'!$G$7</f>
        <v>3</v>
      </c>
      <c r="J15" s="140">
        <f>'Estrategia 6'!$H$7</f>
        <v>1</v>
      </c>
      <c r="K15" s="140" t="str">
        <f>'Estrategia 6'!$I$7</f>
        <v/>
      </c>
      <c r="L15" s="76" t="str">
        <f>IF('Estrategia 6'!$D$10="","",'Estrategia 6'!$D$10)</f>
        <v>Cumpre</v>
      </c>
      <c r="M15" s="77">
        <f t="shared" si="1"/>
        <v>1.0499999999999999E-2</v>
      </c>
      <c r="N15" s="78">
        <f t="shared" si="3"/>
        <v>1</v>
      </c>
      <c r="O15" s="140" t="str">
        <f>'Estrategia 6'!$F$10</f>
        <v>-</v>
      </c>
      <c r="P15" s="140" t="str">
        <f>'Estrategia 6'!$G$10</f>
        <v>D</v>
      </c>
      <c r="Q15" s="140" t="str">
        <f>'Estrategia 6'!$H$10</f>
        <v>-</v>
      </c>
      <c r="R15" s="140" t="str">
        <f>'Estrategia 6'!$I$10</f>
        <v>-</v>
      </c>
      <c r="S15" s="156">
        <f>IF('Estrategia 6'!$M$10="","",'Estrategia 6'!$M$10)</f>
        <v>1</v>
      </c>
      <c r="T15" s="104" t="str">
        <f>IF('Estrategia 6'!$O$10="","",'Estrategia 6'!$O$10)</f>
        <v>No Planificado</v>
      </c>
      <c r="U15" s="154">
        <f>IF('Estrategia 6'!$Q$9&lt;=Estratégia!$U$6,0.5,0)+IF('Estrategia 6'!$S$9&gt;=Estratégia!$U$6,0.5,0)</f>
        <v>0.5</v>
      </c>
      <c r="V15" s="155">
        <f>IF('Estrategia 6'!$Q$9&lt;=Estratégia!$V$6,0.5,0)+IF('Estrategia 6'!$S$9&gt;=Estratégia!$V$6,0.5,0)</f>
        <v>0.5</v>
      </c>
      <c r="W15" s="155">
        <f>IF('Estrategia 6'!$Q$9&lt;=Estratégia!$W$6,0.5,0)+IF('Estrategia 6'!$S$9&gt;=Estratégia!$W$6,0.5,0)</f>
        <v>0.5</v>
      </c>
      <c r="X15" s="155">
        <f>IF('Estrategia 6'!$Q$9&lt;=Estratégia!$X$6,0.5,0)+IF('Estrategia 6'!$S$9&gt;=Estratégia!$X$6,0.5,0)</f>
        <v>0.5</v>
      </c>
      <c r="Y15" s="155">
        <f>IF('Estrategia 6'!$Q$9&lt;=Estratégia!$Y$6,0.5,0)+IF('Estrategia 6'!$S$9&gt;=Estratégia!$Y$6,0.5,0)</f>
        <v>0.5</v>
      </c>
      <c r="Z15" s="79" t="str">
        <f ca="1">IF(OR(AA15&lt;&gt;"",'Estrategia 6'!$D$15="No Planificado"),'Estrategia 6'!$D$15,IF(AND(AA15="",MONTH(TODAY())&gt;'Estrategia 6'!$S$9),"Retrasado","A Tiempo"))</f>
        <v>A Tiempo</v>
      </c>
      <c r="AA15" s="76" t="str">
        <f>IF('Estrategia 6'!$D$12="","",'Estrategia 6'!$D$12)</f>
        <v>Cumpre</v>
      </c>
      <c r="AB15" s="77">
        <f t="shared" si="2"/>
        <v>1.0499999999999999E-2</v>
      </c>
      <c r="AC15" s="78">
        <f t="shared" si="4"/>
        <v>1</v>
      </c>
      <c r="AD15" s="140">
        <f>'Estrategia 6'!$F$12</f>
        <v>3</v>
      </c>
      <c r="AE15" s="140">
        <f>'Estrategia 6'!$G$12</f>
        <v>3</v>
      </c>
      <c r="AF15" s="140" t="str">
        <f>'Estrategia 6'!$H$12</f>
        <v/>
      </c>
      <c r="AG15" s="140" t="str">
        <f>'Estrategia 6'!$I$12</f>
        <v/>
      </c>
      <c r="AH15" s="1"/>
    </row>
    <row r="16" spans="1:34" ht="45.75" customHeight="1" x14ac:dyDescent="0.25">
      <c r="A16" s="1"/>
      <c r="B16" s="115" t="s">
        <v>92</v>
      </c>
      <c r="C16" s="100" t="s">
        <v>93</v>
      </c>
      <c r="D16" s="73" t="s">
        <v>94</v>
      </c>
      <c r="E16" s="72">
        <v>0.01</v>
      </c>
      <c r="F16" s="76" t="str">
        <f>'Estrategia 7'!$D$7</f>
        <v>Parcial</v>
      </c>
      <c r="G16" s="88">
        <f t="shared" si="0"/>
        <v>4.0000000000000001E-3</v>
      </c>
      <c r="H16" s="140">
        <f>'Estrategia 7'!$F$7</f>
        <v>3</v>
      </c>
      <c r="I16" s="140">
        <f>'Estrategia 7'!$G$7</f>
        <v>2</v>
      </c>
      <c r="J16" s="140" t="str">
        <f>'Estrategia 7'!$H$7</f>
        <v/>
      </c>
      <c r="K16" s="140" t="str">
        <f>'Estrategia 7'!$I$7</f>
        <v/>
      </c>
      <c r="L16" s="76" t="str">
        <f>IF('Estrategia 7'!$D$10="","",'Estrategia 7'!$D$10)</f>
        <v>Mais que Cumpre</v>
      </c>
      <c r="M16" s="77">
        <f t="shared" si="1"/>
        <v>8.5000000000000006E-3</v>
      </c>
      <c r="N16" s="78">
        <f t="shared" si="3"/>
        <v>0.47058823529411764</v>
      </c>
      <c r="O16" s="140" t="str">
        <f>'Estrategia 7'!$F$10</f>
        <v>D</v>
      </c>
      <c r="P16" s="140" t="str">
        <f>'Estrategia 7'!$G$10</f>
        <v>-</v>
      </c>
      <c r="Q16" s="140" t="str">
        <f>'Estrategia 7'!$H$10</f>
        <v>D</v>
      </c>
      <c r="R16" s="140" t="str">
        <f>'Estrategia 7'!$I$10</f>
        <v>-</v>
      </c>
      <c r="S16" s="156">
        <f>IF('Estrategia 7'!$M$10="","",'Estrategia 7'!$M$10)</f>
        <v>3</v>
      </c>
      <c r="T16" s="104" t="str">
        <f>IF('Estrategia 7'!$O$10="","",'Estrategia 7'!$O$10)</f>
        <v>Baja</v>
      </c>
      <c r="U16" s="154">
        <f>IF('Estrategia 7'!$Q$9&lt;=Estratégia!$U$6,0.5,0)+IF('Estrategia 7'!$S$9&gt;=Estratégia!$U$6,0.5,0)</f>
        <v>0.5</v>
      </c>
      <c r="V16" s="155">
        <f>IF('Estrategia 7'!$Q$9&lt;=Estratégia!$V$6,0.5,0)+IF('Estrategia 7'!$S$9&gt;=Estratégia!$V$6,0.5,0)</f>
        <v>0.5</v>
      </c>
      <c r="W16" s="155">
        <f>IF('Estrategia 7'!$Q$9&lt;=Estratégia!$W$6,0.5,0)+IF('Estrategia 7'!$S$9&gt;=Estratégia!$W$6,0.5,0)</f>
        <v>0.5</v>
      </c>
      <c r="X16" s="155">
        <f>IF('Estrategia 7'!$Q$9&lt;=Estratégia!$X$6,0.5,0)+IF('Estrategia 7'!$S$9&gt;=Estratégia!$X$6,0.5,0)</f>
        <v>0.5</v>
      </c>
      <c r="Y16" s="155">
        <f>IF('Estrategia 7'!$Q$9&lt;=Estratégia!$Y$6,0.5,0)+IF('Estrategia 7'!$S$9&gt;=Estratégia!$Y$6,0.5,0)</f>
        <v>0.5</v>
      </c>
      <c r="Z16" s="79" t="str">
        <f ca="1">IF(OR(AA16&lt;&gt;"",'Estrategia 7'!$D$15="No Planificado"),'Estrategia 7'!$D$15,IF(AND(AA16="",MONTH(TODAY())&gt;'Estrategia 7'!$S$9),"Retrasado","A Tiempo"))</f>
        <v>Retrasado</v>
      </c>
      <c r="AA16" s="76" t="str">
        <f>IF('Estrategia 7'!$D$12="","",'Estrategia 7'!$D$12)</f>
        <v>Melhor Prática</v>
      </c>
      <c r="AB16" s="77">
        <f t="shared" si="2"/>
        <v>0.01</v>
      </c>
      <c r="AC16" s="78">
        <f t="shared" si="4"/>
        <v>1.1764705882352942</v>
      </c>
      <c r="AD16" s="140">
        <f>'Estrategia 7'!$F$12</f>
        <v>3</v>
      </c>
      <c r="AE16" s="140">
        <f>'Estrategia 7'!$G$12</f>
        <v>3</v>
      </c>
      <c r="AF16" s="140">
        <f>'Estrategia 7'!$H$12</f>
        <v>3</v>
      </c>
      <c r="AG16" s="140">
        <f>'Estrategia 7'!$I$12</f>
        <v>3</v>
      </c>
      <c r="AH16" s="1"/>
    </row>
    <row r="17" spans="1:34" ht="45.75" customHeight="1" x14ac:dyDescent="0.25">
      <c r="A17" s="1"/>
      <c r="B17" s="115" t="s">
        <v>92</v>
      </c>
      <c r="C17" s="100" t="s">
        <v>95</v>
      </c>
      <c r="D17" s="71" t="s">
        <v>96</v>
      </c>
      <c r="E17" s="74">
        <v>0.02</v>
      </c>
      <c r="F17" s="76" t="str">
        <f>'Estrategia 8'!$D$7</f>
        <v>Não cumpre</v>
      </c>
      <c r="G17" s="88">
        <f t="shared" si="0"/>
        <v>0</v>
      </c>
      <c r="H17" s="140">
        <f>'Estrategia 8'!$F$7</f>
        <v>2</v>
      </c>
      <c r="I17" s="140" t="str">
        <f>'Estrategia 8'!$G$7</f>
        <v/>
      </c>
      <c r="J17" s="140" t="str">
        <f>'Estrategia 8'!$H$7</f>
        <v/>
      </c>
      <c r="K17" s="140" t="str">
        <f>'Estrategia 8'!$I$7</f>
        <v/>
      </c>
      <c r="L17" s="76" t="str">
        <f>IF('Estrategia 8'!$D$10="","",'Estrategia 8'!$D$10)</f>
        <v>Cumpre</v>
      </c>
      <c r="M17" s="77">
        <f t="shared" si="1"/>
        <v>1.3999999999999999E-2</v>
      </c>
      <c r="N17" s="78">
        <f t="shared" si="3"/>
        <v>0</v>
      </c>
      <c r="O17" s="140" t="str">
        <f>'Estrategia 8'!$F$10</f>
        <v>D</v>
      </c>
      <c r="P17" s="140" t="str">
        <f>'Estrategia 8'!$G$10</f>
        <v>-</v>
      </c>
      <c r="Q17" s="140" t="str">
        <f>'Estrategia 8'!$H$10</f>
        <v>D</v>
      </c>
      <c r="R17" s="140" t="str">
        <f>'Estrategia 8'!$I$10</f>
        <v>-</v>
      </c>
      <c r="S17" s="156">
        <f>IF('Estrategia 8'!$M$10="","",'Estrategia 8'!$M$10)</f>
        <v>3</v>
      </c>
      <c r="T17" s="104" t="str">
        <f>IF('Estrategia 8'!$O$10="","",'Estrategia 8'!$O$10)</f>
        <v>Baja</v>
      </c>
      <c r="U17" s="154">
        <f>IF('Estrategia 8'!$Q$9&lt;=Estratégia!$U$6,0.5,0)+IF('Estrategia 8'!$S$9&gt;=Estratégia!$U$6,0.5,0)</f>
        <v>0.5</v>
      </c>
      <c r="V17" s="155">
        <f>IF('Estrategia 8'!$Q$9&lt;=Estratégia!$V$6,0.5,0)+IF('Estrategia 8'!$S$9&gt;=Estratégia!$V$6,0.5,0)</f>
        <v>0.5</v>
      </c>
      <c r="W17" s="155">
        <f>IF('Estrategia 8'!$Q$9&lt;=Estratégia!$W$6,0.5,0)+IF('Estrategia 8'!$S$9&gt;=Estratégia!$W$6,0.5,0)</f>
        <v>0.5</v>
      </c>
      <c r="X17" s="155">
        <f>IF('Estrategia 8'!$Q$9&lt;=Estratégia!$X$6,0.5,0)+IF('Estrategia 8'!$S$9&gt;=Estratégia!$X$6,0.5,0)</f>
        <v>0.5</v>
      </c>
      <c r="Y17" s="155">
        <f>IF('Estrategia 8'!$Q$9&lt;=Estratégia!$Y$6,0.5,0)+IF('Estrategia 8'!$S$9&gt;=Estratégia!$Y$6,0.5,0)</f>
        <v>0.5</v>
      </c>
      <c r="Z17" s="79" t="str">
        <f ca="1">IF(OR(AA17&lt;&gt;"",'Estrategia 8'!$D$15="No Planificado"),'Estrategia 8'!$D$15,IF(AND(AA17="",MONTH(TODAY())&gt;'Estrategia 8'!$S$9),"Retrasado","A Tiempo"))</f>
        <v>Retrasado</v>
      </c>
      <c r="AA17" s="76" t="str">
        <f>IF('Estrategia 8'!$D$12="","",'Estrategia 8'!$D$12)</f>
        <v>Parcial</v>
      </c>
      <c r="AB17" s="77">
        <f t="shared" si="2"/>
        <v>8.0000000000000002E-3</v>
      </c>
      <c r="AC17" s="78">
        <f t="shared" si="4"/>
        <v>0.57142857142857151</v>
      </c>
      <c r="AD17" s="140">
        <f>'Estrategia 8'!$F$12</f>
        <v>3</v>
      </c>
      <c r="AE17" s="140" t="str">
        <f>'Estrategia 8'!$G$12</f>
        <v/>
      </c>
      <c r="AF17" s="140" t="str">
        <f>'Estrategia 8'!$H$12</f>
        <v/>
      </c>
      <c r="AG17" s="140" t="str">
        <f>'Estrategia 8'!$I$12</f>
        <v/>
      </c>
      <c r="AH17" s="1"/>
    </row>
    <row r="18" spans="1:34" ht="45.75" customHeight="1" x14ac:dyDescent="0.25">
      <c r="A18" s="1"/>
      <c r="B18" s="115" t="s">
        <v>30</v>
      </c>
      <c r="C18" s="100" t="s">
        <v>97</v>
      </c>
      <c r="D18" s="71" t="s">
        <v>98</v>
      </c>
      <c r="E18" s="72">
        <v>2.5000000000000001E-2</v>
      </c>
      <c r="F18" s="76" t="str">
        <f>'Estrategia 9'!$D$7</f>
        <v>Não cumpre</v>
      </c>
      <c r="G18" s="88">
        <f t="shared" si="0"/>
        <v>0</v>
      </c>
      <c r="H18" s="140">
        <f>'Estrategia 9'!$F$7</f>
        <v>1</v>
      </c>
      <c r="I18" s="140" t="str">
        <f>'Estrategia 9'!$G$7</f>
        <v/>
      </c>
      <c r="J18" s="140" t="str">
        <f>'Estrategia 9'!$H$7</f>
        <v/>
      </c>
      <c r="K18" s="140" t="str">
        <f>'Estrategia 9'!$I$7</f>
        <v/>
      </c>
      <c r="L18" s="76" t="str">
        <f>IF('Estrategia 9'!$D$10="","",'Estrategia 9'!$D$10)</f>
        <v>Cumpre</v>
      </c>
      <c r="M18" s="77">
        <f t="shared" si="1"/>
        <v>1.7499999999999998E-2</v>
      </c>
      <c r="N18" s="78">
        <f t="shared" si="3"/>
        <v>0</v>
      </c>
      <c r="O18" s="140" t="str">
        <f>'Estrategia 9'!$F$10</f>
        <v>D</v>
      </c>
      <c r="P18" s="140" t="str">
        <f>'Estrategia 9'!$G$10</f>
        <v>D</v>
      </c>
      <c r="Q18" s="140" t="str">
        <f>'Estrategia 9'!$H$10</f>
        <v>D</v>
      </c>
      <c r="R18" s="140" t="str">
        <f>'Estrategia 9'!$I$10</f>
        <v>-</v>
      </c>
      <c r="S18" s="156">
        <f>IF('Estrategia 9'!$M$10="","",'Estrategia 9'!$M$10)</f>
        <v>1</v>
      </c>
      <c r="T18" s="104" t="str">
        <f>IF('Estrategia 9'!$O$10="","",'Estrategia 9'!$O$10)</f>
        <v>Alta</v>
      </c>
      <c r="U18" s="154">
        <f>IF('Estrategia 9'!$Q$9&lt;=Estratégia!$U$6,0.5,0)+IF('Estrategia 9'!$S$9&gt;=Estratégia!$U$6,0.5,0)</f>
        <v>0.5</v>
      </c>
      <c r="V18" s="155">
        <f>IF('Estrategia 9'!$Q$9&lt;=Estratégia!$V$6,0.5,0)+IF('Estrategia 9'!$S$9&gt;=Estratégia!$V$6,0.5,0)</f>
        <v>0.5</v>
      </c>
      <c r="W18" s="155">
        <f>IF('Estrategia 9'!$Q$9&lt;=Estratégia!$W$6,0.5,0)+IF('Estrategia 9'!$S$9&gt;=Estratégia!$W$6,0.5,0)</f>
        <v>0.5</v>
      </c>
      <c r="X18" s="155">
        <f>IF('Estrategia 9'!$Q$9&lt;=Estratégia!$X$6,0.5,0)+IF('Estrategia 9'!$S$9&gt;=Estratégia!$X$6,0.5,0)</f>
        <v>0.5</v>
      </c>
      <c r="Y18" s="155">
        <f>IF('Estrategia 9'!$Q$9&lt;=Estratégia!$Y$6,0.5,0)+IF('Estrategia 9'!$S$9&gt;=Estratégia!$Y$6,0.5,0)</f>
        <v>0.5</v>
      </c>
      <c r="Z18" s="79" t="str">
        <f ca="1">IF(OR(AA18&lt;&gt;"",'Estrategia 9'!$D$15="No Planificado"),'Estrategia 9'!$D$15,IF(AND(AA18="",MONTH(TODAY())&gt;'Estrategia 9'!$S$9),"Retrasado","A Tiempo"))</f>
        <v>Retrasado</v>
      </c>
      <c r="AA18" s="76" t="str">
        <f>IF('Estrategia 9'!$D$12="","",'Estrategia 9'!$D$12)</f>
        <v>Parcial</v>
      </c>
      <c r="AB18" s="77">
        <f t="shared" si="2"/>
        <v>1.0000000000000002E-2</v>
      </c>
      <c r="AC18" s="78">
        <f t="shared" si="4"/>
        <v>0.57142857142857162</v>
      </c>
      <c r="AD18" s="140">
        <f>'Estrategia 9'!$F$12</f>
        <v>3</v>
      </c>
      <c r="AE18" s="140" t="str">
        <f>'Estrategia 9'!$G$12</f>
        <v/>
      </c>
      <c r="AF18" s="140" t="str">
        <f>'Estrategia 9'!$H$12</f>
        <v/>
      </c>
      <c r="AG18" s="140" t="str">
        <f>'Estrategia 9'!$I$12</f>
        <v/>
      </c>
      <c r="AH18" s="1"/>
    </row>
    <row r="19" spans="1:34" ht="45.75" customHeight="1" x14ac:dyDescent="0.25">
      <c r="A19" s="1"/>
      <c r="B19" s="115" t="s">
        <v>99</v>
      </c>
      <c r="C19" s="100" t="s">
        <v>100</v>
      </c>
      <c r="D19" s="71" t="s">
        <v>101</v>
      </c>
      <c r="E19" s="74">
        <v>0.01</v>
      </c>
      <c r="F19" s="76" t="str">
        <f>'Estrategia 10'!$D$7</f>
        <v>Não cumpre</v>
      </c>
      <c r="G19" s="88">
        <f t="shared" si="0"/>
        <v>0</v>
      </c>
      <c r="H19" s="140">
        <f>'Estrategia 10'!$F$7</f>
        <v>2</v>
      </c>
      <c r="I19" s="140">
        <f>'Estrategia 10'!$G$7</f>
        <v>2</v>
      </c>
      <c r="J19" s="140">
        <f>'Estrategia 10'!$H$7</f>
        <v>2</v>
      </c>
      <c r="K19" s="140" t="str">
        <f>'Estrategia 10'!$I$7</f>
        <v/>
      </c>
      <c r="L19" s="76" t="str">
        <f>IF('Estrategia 10'!$D$10="","",'Estrategia 10'!$D$10)</f>
        <v>Mais que Cumpre</v>
      </c>
      <c r="M19" s="77">
        <f t="shared" si="1"/>
        <v>8.5000000000000006E-3</v>
      </c>
      <c r="N19" s="78">
        <f t="shared" si="3"/>
        <v>0</v>
      </c>
      <c r="O19" s="140" t="str">
        <f>'Estrategia 10'!$F$10</f>
        <v>-</v>
      </c>
      <c r="P19" s="140" t="str">
        <f>'Estrategia 10'!$G$10</f>
        <v>-</v>
      </c>
      <c r="Q19" s="140" t="str">
        <f>'Estrategia 10'!$H$10</f>
        <v>-</v>
      </c>
      <c r="R19" s="140" t="str">
        <f>'Estrategia 10'!$I$10</f>
        <v>-</v>
      </c>
      <c r="S19" s="156">
        <f>IF('Estrategia 10'!$M$10="","",'Estrategia 10'!$M$10)</f>
        <v>2</v>
      </c>
      <c r="T19" s="104" t="str">
        <f>IF('Estrategia 10'!$O$10="","",'Estrategia 10'!$O$10)</f>
        <v>Alta</v>
      </c>
      <c r="U19" s="154">
        <f>IF('Estrategia 10'!$Q$9&lt;=Estratégia!$U$6,0.5,0)+IF('Estrategia 10'!$S$9&gt;=Estratégia!$U$6,0.5,0)</f>
        <v>0.5</v>
      </c>
      <c r="V19" s="155">
        <f>IF('Estrategia 10'!$Q$9&lt;=Estratégia!$V$6,0.5,0)+IF('Estrategia 10'!$S$9&gt;=Estratégia!$V$6,0.5,0)</f>
        <v>0.5</v>
      </c>
      <c r="W19" s="155">
        <f>IF('Estrategia 10'!$Q$9&lt;=Estratégia!$W$6,0.5,0)+IF('Estrategia 10'!$S$9&gt;=Estratégia!$W$6,0.5,0)</f>
        <v>0.5</v>
      </c>
      <c r="X19" s="155">
        <f>IF('Estrategia 10'!$Q$9&lt;=Estratégia!$X$6,0.5,0)+IF('Estrategia 10'!$S$9&gt;=Estratégia!$X$6,0.5,0)</f>
        <v>0.5</v>
      </c>
      <c r="Y19" s="155">
        <f>IF('Estrategia 10'!$Q$9&lt;=Estratégia!$Y$6,0.5,0)+IF('Estrategia 10'!$S$9&gt;=Estratégia!$Y$6,0.5,0)</f>
        <v>0.5</v>
      </c>
      <c r="Z19" s="79" t="str">
        <f ca="1">IF(OR(AA19&lt;&gt;"",'Estrategia 10'!$D$15="No Planificado"),'Estrategia 10'!$D$15,IF(AND(AA19="",MONTH(TODAY())&gt;'Estrategia 10'!$S$9),"Retrasado","A Tiempo"))</f>
        <v>Finalizado</v>
      </c>
      <c r="AA19" s="76" t="str">
        <f>IF('Estrategia 10'!$D$12="","",'Estrategia 10'!$D$12)</f>
        <v>Melhor Prática</v>
      </c>
      <c r="AB19" s="77">
        <f t="shared" si="2"/>
        <v>0.01</v>
      </c>
      <c r="AC19" s="78">
        <f t="shared" si="4"/>
        <v>1.1764705882352942</v>
      </c>
      <c r="AD19" s="140">
        <f>'Estrategia 10'!$F$12</f>
        <v>3</v>
      </c>
      <c r="AE19" s="140">
        <f>'Estrategia 10'!$G$12</f>
        <v>3</v>
      </c>
      <c r="AF19" s="140">
        <f>'Estrategia 10'!$H$12</f>
        <v>3</v>
      </c>
      <c r="AG19" s="140">
        <f>'Estrategia 10'!$I$12</f>
        <v>3</v>
      </c>
      <c r="AH19" s="1"/>
    </row>
    <row r="20" spans="1:34" ht="45.75" customHeight="1" x14ac:dyDescent="0.25">
      <c r="A20" s="1"/>
      <c r="B20" s="115" t="s">
        <v>102</v>
      </c>
      <c r="C20" s="100" t="s">
        <v>103</v>
      </c>
      <c r="D20" s="73" t="s">
        <v>104</v>
      </c>
      <c r="E20" s="72">
        <v>0.02</v>
      </c>
      <c r="F20" s="76" t="str">
        <f>'Estrategia 11'!$D$7</f>
        <v>Não cumpre</v>
      </c>
      <c r="G20" s="88">
        <f t="shared" si="0"/>
        <v>0</v>
      </c>
      <c r="H20" s="140">
        <f>'Estrategia 11'!$F$7</f>
        <v>1</v>
      </c>
      <c r="I20" s="140" t="str">
        <f>'Estrategia 11'!$G$7</f>
        <v/>
      </c>
      <c r="J20" s="140" t="str">
        <f>'Estrategia 11'!$H$7</f>
        <v/>
      </c>
      <c r="K20" s="140" t="str">
        <f>'Estrategia 11'!$I$7</f>
        <v/>
      </c>
      <c r="L20" s="76" t="str">
        <f>IF('Estrategia 11'!$D$10="","",'Estrategia 11'!$D$10)</f>
        <v>Cumpre</v>
      </c>
      <c r="M20" s="77">
        <f t="shared" si="1"/>
        <v>1.3999999999999999E-2</v>
      </c>
      <c r="N20" s="78">
        <f t="shared" si="3"/>
        <v>0</v>
      </c>
      <c r="O20" s="140" t="str">
        <f>'Estrategia 11'!$F$10</f>
        <v>-</v>
      </c>
      <c r="P20" s="140" t="str">
        <f>'Estrategia 11'!$G$10</f>
        <v>-</v>
      </c>
      <c r="Q20" s="140" t="str">
        <f>'Estrategia 11'!$H$10</f>
        <v>-</v>
      </c>
      <c r="R20" s="140" t="str">
        <f>'Estrategia 11'!$I$10</f>
        <v>D</v>
      </c>
      <c r="S20" s="156">
        <f>IF('Estrategia 11'!$M$10="","",'Estrategia 11'!$M$10)</f>
        <v>1</v>
      </c>
      <c r="T20" s="104" t="str">
        <f>IF('Estrategia 11'!$O$10="","",'Estrategia 11'!$O$10)</f>
        <v>Alta</v>
      </c>
      <c r="U20" s="154">
        <f>IF('Estrategia 11'!$Q$9&lt;=Estratégia!$U$6,0.5,0)+IF('Estrategia 11'!$S$9&gt;=Estratégia!$U$6,0.5,0)</f>
        <v>0.5</v>
      </c>
      <c r="V20" s="155">
        <f>IF('Estrategia 11'!$Q$9&lt;=Estratégia!$V$6,0.5,0)+IF('Estrategia 11'!$S$9&gt;=Estratégia!$V$6,0.5,0)</f>
        <v>0.5</v>
      </c>
      <c r="W20" s="155">
        <f>IF('Estrategia 11'!$Q$9&lt;=Estratégia!$W$6,0.5,0)+IF('Estrategia 11'!$S$9&gt;=Estratégia!$W$6,0.5,0)</f>
        <v>0.5</v>
      </c>
      <c r="X20" s="155">
        <f>IF('Estrategia 11'!$Q$9&lt;=Estratégia!$X$6,0.5,0)+IF('Estrategia 11'!$S$9&gt;=Estratégia!$X$6,0.5,0)</f>
        <v>0.5</v>
      </c>
      <c r="Y20" s="155">
        <f>IF('Estrategia 11'!$Q$9&lt;=Estratégia!$Y$6,0.5,0)+IF('Estrategia 11'!$S$9&gt;=Estratégia!$Y$6,0.5,0)</f>
        <v>0.5</v>
      </c>
      <c r="Z20" s="79" t="str">
        <f ca="1">IF(OR(AA20&lt;&gt;"",'Estrategia 11'!$D$15="No Planificado"),'Estrategia 11'!$D$15,IF(AND(AA20="",MONTH(TODAY())&gt;'Estrategia 11'!$S$9),"Retrasado","A Tiempo"))</f>
        <v>Retrasado</v>
      </c>
      <c r="AA20" s="76" t="str">
        <f>IF('Estrategia 11'!$D$12="","",'Estrategia 11'!$D$12)</f>
        <v>Mais que cumpre</v>
      </c>
      <c r="AB20" s="77">
        <f t="shared" si="2"/>
        <v>1.7000000000000001E-2</v>
      </c>
      <c r="AC20" s="78">
        <f t="shared" si="4"/>
        <v>1.2142857142857144</v>
      </c>
      <c r="AD20" s="140">
        <f>'Estrategia 11'!$F$12</f>
        <v>3</v>
      </c>
      <c r="AE20" s="140">
        <f>'Estrategia 11'!$G$12</f>
        <v>3</v>
      </c>
      <c r="AF20" s="140">
        <f>'Estrategia 11'!$H$12</f>
        <v>3</v>
      </c>
      <c r="AG20" s="140" t="str">
        <f>'Estrategia 11'!$I$12</f>
        <v/>
      </c>
      <c r="AH20" s="1"/>
    </row>
    <row r="21" spans="1:34" ht="45.75" customHeight="1" x14ac:dyDescent="0.25">
      <c r="A21" s="1"/>
      <c r="B21" s="115" t="s">
        <v>105</v>
      </c>
      <c r="C21" s="100" t="s">
        <v>106</v>
      </c>
      <c r="D21" s="71" t="s">
        <v>107</v>
      </c>
      <c r="E21" s="74">
        <v>1.4999999999999999E-2</v>
      </c>
      <c r="F21" s="76" t="str">
        <f>'Estrategia 12'!$D$7</f>
        <v>Não cumpre</v>
      </c>
      <c r="G21" s="88">
        <f t="shared" si="0"/>
        <v>0</v>
      </c>
      <c r="H21" s="140">
        <f>'Estrategia 12'!$F$7</f>
        <v>1</v>
      </c>
      <c r="I21" s="140" t="str">
        <f>'Estrategia 12'!$G$7</f>
        <v/>
      </c>
      <c r="J21" s="140" t="str">
        <f>'Estrategia 12'!$H$7</f>
        <v/>
      </c>
      <c r="K21" s="140" t="str">
        <f>'Estrategia 12'!$I$7</f>
        <v/>
      </c>
      <c r="L21" s="76" t="str">
        <f>IF('Estrategia 12'!$D$10="","",'Estrategia 12'!$D$10)</f>
        <v>Mais que Cumpre</v>
      </c>
      <c r="M21" s="77">
        <f t="shared" si="1"/>
        <v>1.2749999999999999E-2</v>
      </c>
      <c r="N21" s="78">
        <f t="shared" si="3"/>
        <v>0</v>
      </c>
      <c r="O21" s="140" t="str">
        <f>'Estrategia 12'!$F$10</f>
        <v>-</v>
      </c>
      <c r="P21" s="140" t="str">
        <f>'Estrategia 12'!$G$10</f>
        <v>-</v>
      </c>
      <c r="Q21" s="140" t="str">
        <f>'Estrategia 12'!$H$10</f>
        <v>-</v>
      </c>
      <c r="R21" s="140" t="str">
        <f>'Estrategia 12'!$I$10</f>
        <v>D</v>
      </c>
      <c r="S21" s="156">
        <f>IF('Estrategia 12'!$M$10="","",'Estrategia 12'!$M$10)</f>
        <v>1</v>
      </c>
      <c r="T21" s="104" t="str">
        <f>IF('Estrategia 12'!$O$10="","",'Estrategia 12'!$O$10)</f>
        <v>Alta</v>
      </c>
      <c r="U21" s="154">
        <f>IF('Estrategia 12'!$Q$9&lt;=Estratégia!$U$6,0.5,0)+IF('Estrategia 12'!$S$9&gt;=Estratégia!$U$6,0.5,0)</f>
        <v>0.5</v>
      </c>
      <c r="V21" s="155">
        <f>IF('Estrategia 12'!$Q$9&lt;=Estratégia!$V$6,0.5,0)+IF('Estrategia 12'!$S$9&gt;=Estratégia!$V$6,0.5,0)</f>
        <v>0.5</v>
      </c>
      <c r="W21" s="155">
        <f>IF('Estrategia 12'!$Q$9&lt;=Estratégia!$W$6,0.5,0)+IF('Estrategia 12'!$S$9&gt;=Estratégia!$W$6,0.5,0)</f>
        <v>0.5</v>
      </c>
      <c r="X21" s="155">
        <f>IF('Estrategia 12'!$Q$9&lt;=Estratégia!$X$6,0.5,0)+IF('Estrategia 12'!$S$9&gt;=Estratégia!$X$6,0.5,0)</f>
        <v>0.5</v>
      </c>
      <c r="Y21" s="155">
        <f>IF('Estrategia 12'!$Q$9&lt;=Estratégia!$Y$6,0.5,0)+IF('Estrategia 12'!$S$9&gt;=Estratégia!$Y$6,0.5,0)</f>
        <v>0.5</v>
      </c>
      <c r="Z21" s="79" t="str">
        <f ca="1">IF(OR(AA21&lt;&gt;"",'Estrategia 12'!$D$15="No Planificado"),'Estrategia 12'!$D$15,IF(AND(AA21="",MONTH(TODAY())&gt;'Estrategia 12'!$S$9),"Retrasado","A Tiempo"))</f>
        <v>No Planificado</v>
      </c>
      <c r="AA21" s="76" t="str">
        <f>IF('Estrategia 12'!$D$12="","",'Estrategia 12'!$D$12)</f>
        <v>Melhor Prática</v>
      </c>
      <c r="AB21" s="77">
        <f t="shared" si="2"/>
        <v>1.4999999999999999E-2</v>
      </c>
      <c r="AC21" s="78">
        <f t="shared" si="4"/>
        <v>1.1764705882352942</v>
      </c>
      <c r="AD21" s="140">
        <f>'Estrategia 12'!$F$12</f>
        <v>3</v>
      </c>
      <c r="AE21" s="140">
        <f>'Estrategia 12'!$G$12</f>
        <v>3</v>
      </c>
      <c r="AF21" s="140">
        <f>'Estrategia 12'!$H$12</f>
        <v>3</v>
      </c>
      <c r="AG21" s="140">
        <f>'Estrategia 12'!$I$12</f>
        <v>3</v>
      </c>
      <c r="AH21" s="1"/>
    </row>
    <row r="22" spans="1:34" ht="45.75" customHeight="1" x14ac:dyDescent="0.25">
      <c r="A22" s="1"/>
      <c r="B22" s="115" t="s">
        <v>28</v>
      </c>
      <c r="C22" s="100" t="s">
        <v>108</v>
      </c>
      <c r="D22" s="73" t="s">
        <v>109</v>
      </c>
      <c r="E22" s="72">
        <v>2.5000000000000001E-2</v>
      </c>
      <c r="F22" s="76" t="str">
        <f>'Estrategia 13'!$D$7</f>
        <v>Cumpre</v>
      </c>
      <c r="G22" s="88">
        <f t="shared" si="0"/>
        <v>1.7499999999999998E-2</v>
      </c>
      <c r="H22" s="140">
        <f>'Estrategia 13'!$F$7</f>
        <v>3</v>
      </c>
      <c r="I22" s="140">
        <f>'Estrategia 13'!$G$7</f>
        <v>3</v>
      </c>
      <c r="J22" s="140">
        <f>'Estrategia 13'!$H$7</f>
        <v>2</v>
      </c>
      <c r="K22" s="140" t="str">
        <f>'Estrategia 13'!$I$7</f>
        <v/>
      </c>
      <c r="L22" s="76" t="str">
        <f>IF('Estrategia 13'!$D$10="","",'Estrategia 13'!$D$10)</f>
        <v>Mais que Cumpre</v>
      </c>
      <c r="M22" s="77">
        <f t="shared" si="1"/>
        <v>2.1250000000000002E-2</v>
      </c>
      <c r="N22" s="78">
        <f t="shared" si="3"/>
        <v>0.82352941176470573</v>
      </c>
      <c r="O22" s="140" t="str">
        <f>'Estrategia 13'!$F$10</f>
        <v>-</v>
      </c>
      <c r="P22" s="140" t="str">
        <f>'Estrategia 13'!$G$10</f>
        <v>D</v>
      </c>
      <c r="Q22" s="140" t="str">
        <f>'Estrategia 13'!$H$10</f>
        <v>D</v>
      </c>
      <c r="R22" s="140" t="str">
        <f>'Estrategia 13'!$I$10</f>
        <v>-</v>
      </c>
      <c r="S22" s="156">
        <f>IF('Estrategia 13'!$M$10="","",'Estrategia 13'!$M$10)</f>
        <v>3</v>
      </c>
      <c r="T22" s="104" t="str">
        <f>IF('Estrategia 13'!$O$10="","",'Estrategia 13'!$O$10)</f>
        <v>Alta</v>
      </c>
      <c r="U22" s="154">
        <f>IF('Estrategia 13'!$Q$9&lt;=Estratégia!$U$6,0.5,0)+IF('Estrategia 13'!$S$9&gt;=Estratégia!$U$6,0.5,0)</f>
        <v>0.5</v>
      </c>
      <c r="V22" s="155">
        <f>IF('Estrategia 13'!$Q$9&lt;=Estratégia!$V$6,0.5,0)+IF('Estrategia 13'!$S$9&gt;=Estratégia!$V$6,0.5,0)</f>
        <v>0.5</v>
      </c>
      <c r="W22" s="155">
        <f>IF('Estrategia 13'!$Q$9&lt;=Estratégia!$W$6,0.5,0)+IF('Estrategia 13'!$S$9&gt;=Estratégia!$W$6,0.5,0)</f>
        <v>0.5</v>
      </c>
      <c r="X22" s="155">
        <f>IF('Estrategia 13'!$Q$9&lt;=Estratégia!$X$6,0.5,0)+IF('Estrategia 13'!$S$9&gt;=Estratégia!$X$6,0.5,0)</f>
        <v>0.5</v>
      </c>
      <c r="Y22" s="155">
        <f>IF('Estrategia 13'!$Q$9&lt;=Estratégia!$Y$6,0.5,0)+IF('Estrategia 13'!$S$9&gt;=Estratégia!$Y$6,0.5,0)</f>
        <v>0.5</v>
      </c>
      <c r="Z22" s="79" t="str">
        <f ca="1">IF(OR(AA22&lt;&gt;"",'Estrategia 13'!$D$15="No Planificado"),'Estrategia 13'!$D$15,IF(AND(AA22="",MONTH(TODAY())&gt;'Estrategia 13'!$S$9),"Retrasado","A Tiempo"))</f>
        <v>Retrasado</v>
      </c>
      <c r="AA22" s="76" t="str">
        <f>IF('Estrategia 13'!$D$12="","",'Estrategia 13'!$D$12)</f>
        <v>Mais que cumpre</v>
      </c>
      <c r="AB22" s="77">
        <f t="shared" si="2"/>
        <v>2.1250000000000002E-2</v>
      </c>
      <c r="AC22" s="78">
        <f t="shared" si="4"/>
        <v>1</v>
      </c>
      <c r="AD22" s="140">
        <f>'Estrategia 13'!$F$12</f>
        <v>3</v>
      </c>
      <c r="AE22" s="140">
        <f>'Estrategia 13'!$G$12</f>
        <v>3</v>
      </c>
      <c r="AF22" s="140">
        <f>'Estrategia 13'!$H$12</f>
        <v>3</v>
      </c>
      <c r="AG22" s="140" t="str">
        <f>'Estrategia 13'!$I$12</f>
        <v/>
      </c>
      <c r="AH22" s="1"/>
    </row>
    <row r="23" spans="1:34" ht="45.75" customHeight="1" x14ac:dyDescent="0.25">
      <c r="A23" s="1"/>
      <c r="B23" s="115" t="s">
        <v>28</v>
      </c>
      <c r="C23" s="100" t="s">
        <v>110</v>
      </c>
      <c r="D23" s="71" t="s">
        <v>111</v>
      </c>
      <c r="E23" s="74">
        <v>0.02</v>
      </c>
      <c r="F23" s="76" t="str">
        <f>'Estrategia 14'!$D$7</f>
        <v>Mais que cumpre</v>
      </c>
      <c r="G23" s="88">
        <f t="shared" si="0"/>
        <v>1.7000000000000001E-2</v>
      </c>
      <c r="H23" s="140">
        <f>'Estrategia 14'!$F$7</f>
        <v>3</v>
      </c>
      <c r="I23" s="140">
        <f>'Estrategia 14'!$G$7</f>
        <v>3</v>
      </c>
      <c r="J23" s="140">
        <f>'Estrategia 14'!$H$7</f>
        <v>3</v>
      </c>
      <c r="K23" s="140" t="str">
        <f>'Estrategia 14'!$I$7</f>
        <v/>
      </c>
      <c r="L23" s="76" t="str">
        <f>IF('Estrategia 14'!$D$10="","",'Estrategia 14'!$D$10)</f>
        <v>Melhor Prática</v>
      </c>
      <c r="M23" s="77">
        <f t="shared" si="1"/>
        <v>0.02</v>
      </c>
      <c r="N23" s="78">
        <f t="shared" si="3"/>
        <v>0.85000000000000009</v>
      </c>
      <c r="O23" s="140" t="str">
        <f>'Estrategia 14'!$F$10</f>
        <v>D</v>
      </c>
      <c r="P23" s="140" t="str">
        <f>'Estrategia 14'!$G$10</f>
        <v>D</v>
      </c>
      <c r="Q23" s="140" t="str">
        <f>'Estrategia 14'!$H$10</f>
        <v>D</v>
      </c>
      <c r="R23" s="140" t="str">
        <f>'Estrategia 14'!$I$10</f>
        <v>-</v>
      </c>
      <c r="S23" s="156">
        <f>IF('Estrategia 14'!$M$10="","",'Estrategia 14'!$M$10)</f>
        <v>3</v>
      </c>
      <c r="T23" s="104" t="str">
        <f>IF('Estrategia 14'!$O$10="","",'Estrategia 14'!$O$10)</f>
        <v>Alta</v>
      </c>
      <c r="U23" s="154">
        <f>IF('Estrategia 14'!$Q$9&lt;=Estratégia!$U$6,0.5,0)+IF('Estrategia 14'!$S$9&gt;=Estratégia!$U$6,0.5,0)</f>
        <v>0.5</v>
      </c>
      <c r="V23" s="155">
        <f>IF('Estrategia 14'!$Q$9&lt;=Estratégia!$V$6,0.5,0)+IF('Estrategia 14'!$S$9&gt;=Estratégia!$V$6,0.5,0)</f>
        <v>0.5</v>
      </c>
      <c r="W23" s="155">
        <f>IF('Estrategia 14'!$Q$9&lt;=Estratégia!$W$6,0.5,0)+IF('Estrategia 14'!$S$9&gt;=Estratégia!$W$6,0.5,0)</f>
        <v>0.5</v>
      </c>
      <c r="X23" s="155">
        <f>IF('Estrategia 14'!$Q$9&lt;=Estratégia!$X$6,0.5,0)+IF('Estrategia 14'!$S$9&gt;=Estratégia!$X$6,0.5,0)</f>
        <v>0.5</v>
      </c>
      <c r="Y23" s="155">
        <f>IF('Estrategia 14'!$Q$9&lt;=Estratégia!$Y$6,0.5,0)+IF('Estrategia 14'!$S$9&gt;=Estratégia!$Y$6,0.5,0)</f>
        <v>0.5</v>
      </c>
      <c r="Z23" s="79" t="str">
        <f ca="1">IF(OR(AA23&lt;&gt;"",'Estrategia 14'!$D$15="No Planificado"),'Estrategia 14'!$D$15,IF(AND(AA23="",MONTH(TODAY())&gt;'Estrategia 14'!$S$9),"Retrasado","A Tiempo"))</f>
        <v>A Tiempo</v>
      </c>
      <c r="AA23" s="76" t="str">
        <f>IF('Estrategia 14'!$D$12="","",'Estrategia 14'!$D$12)</f>
        <v>Melhor Prática</v>
      </c>
      <c r="AB23" s="77">
        <f t="shared" si="2"/>
        <v>0.02</v>
      </c>
      <c r="AC23" s="78">
        <f t="shared" si="4"/>
        <v>1</v>
      </c>
      <c r="AD23" s="140">
        <f>'Estrategia 14'!$F$12</f>
        <v>3</v>
      </c>
      <c r="AE23" s="140">
        <f>'Estrategia 14'!$G$12</f>
        <v>3</v>
      </c>
      <c r="AF23" s="140">
        <f>'Estrategia 14'!$H$12</f>
        <v>3</v>
      </c>
      <c r="AG23" s="140">
        <f>'Estrategia 14'!$I$12</f>
        <v>3</v>
      </c>
      <c r="AH23" s="1"/>
    </row>
    <row r="24" spans="1:34" ht="45.75" customHeight="1" x14ac:dyDescent="0.25">
      <c r="A24" s="1"/>
      <c r="B24" s="115" t="s">
        <v>28</v>
      </c>
      <c r="C24" s="100" t="s">
        <v>112</v>
      </c>
      <c r="D24" s="73" t="s">
        <v>113</v>
      </c>
      <c r="E24" s="72">
        <v>1.4999999999999999E-2</v>
      </c>
      <c r="F24" s="76" t="str">
        <f>'Estrategia 15'!$D$7</f>
        <v>Parcial</v>
      </c>
      <c r="G24" s="88">
        <f t="shared" si="0"/>
        <v>6.0000000000000001E-3</v>
      </c>
      <c r="H24" s="140">
        <f>'Estrategia 15'!$F$7</f>
        <v>3</v>
      </c>
      <c r="I24" s="140">
        <f>'Estrategia 15'!$G$7</f>
        <v>2</v>
      </c>
      <c r="J24" s="140" t="str">
        <f>'Estrategia 15'!$H$7</f>
        <v/>
      </c>
      <c r="K24" s="140" t="str">
        <f>'Estrategia 15'!$I$7</f>
        <v/>
      </c>
      <c r="L24" s="76" t="str">
        <f>IF('Estrategia 15'!$D$10="","",'Estrategia 15'!$D$10)</f>
        <v>Cumpre</v>
      </c>
      <c r="M24" s="77">
        <f t="shared" si="1"/>
        <v>1.0499999999999999E-2</v>
      </c>
      <c r="N24" s="78">
        <f t="shared" si="3"/>
        <v>0.57142857142857151</v>
      </c>
      <c r="O24" s="140" t="str">
        <f>'Estrategia 15'!$F$10</f>
        <v>D</v>
      </c>
      <c r="P24" s="140" t="str">
        <f>'Estrategia 15'!$G$10</f>
        <v>D</v>
      </c>
      <c r="Q24" s="140" t="str">
        <f>'Estrategia 15'!$H$10</f>
        <v>D</v>
      </c>
      <c r="R24" s="140" t="str">
        <f>'Estrategia 15'!$I$10</f>
        <v>-</v>
      </c>
      <c r="S24" s="156">
        <f>IF('Estrategia 15'!$M$10="","",'Estrategia 15'!$M$10)</f>
        <v>3</v>
      </c>
      <c r="T24" s="104" t="str">
        <f>IF('Estrategia 15'!$O$10="","",'Estrategia 15'!$O$10)</f>
        <v>Baja</v>
      </c>
      <c r="U24" s="154">
        <f>IF('Estrategia 15'!$Q$9&lt;=Estratégia!$U$6,0.5,0)+IF('Estrategia 15'!$S$9&gt;=Estratégia!$U$6,0.5,0)</f>
        <v>0.5</v>
      </c>
      <c r="V24" s="155">
        <f>IF('Estrategia 15'!$Q$9&lt;=Estratégia!$V$6,0.5,0)+IF('Estrategia 15'!$S$9&gt;=Estratégia!$V$6,0.5,0)</f>
        <v>0.5</v>
      </c>
      <c r="W24" s="155">
        <f>IF('Estrategia 15'!$Q$9&lt;=Estratégia!$W$6,0.5,0)+IF('Estrategia 15'!$S$9&gt;=Estratégia!$W$6,0.5,0)</f>
        <v>0.5</v>
      </c>
      <c r="X24" s="155">
        <f>IF('Estrategia 15'!$Q$9&lt;=Estratégia!$X$6,0.5,0)+IF('Estrategia 15'!$S$9&gt;=Estratégia!$X$6,0.5,0)</f>
        <v>0.5</v>
      </c>
      <c r="Y24" s="155">
        <f>IF('Estrategia 15'!$Q$9&lt;=Estratégia!$Y$6,0.5,0)+IF('Estrategia 15'!$S$9&gt;=Estratégia!$Y$6,0.5,0)</f>
        <v>0.5</v>
      </c>
      <c r="Z24" s="79" t="str">
        <f ca="1">IF(OR(AA24&lt;&gt;"",'Estrategia 15'!$D$15="No Planificado"),'Estrategia 15'!$D$15,IF(AND(AA24="",MONTH(TODAY())&gt;'Estrategia 15'!$S$9),"Retrasado","A Tiempo"))</f>
        <v>Retrasado</v>
      </c>
      <c r="AA24" s="76" t="str">
        <f>IF('Estrategia 15'!$D$12="","",'Estrategia 15'!$D$12)</f>
        <v>Cumpre</v>
      </c>
      <c r="AB24" s="77">
        <f t="shared" si="2"/>
        <v>1.0499999999999999E-2</v>
      </c>
      <c r="AC24" s="78">
        <f t="shared" si="4"/>
        <v>1</v>
      </c>
      <c r="AD24" s="140">
        <f>'Estrategia 15'!$F$12</f>
        <v>3</v>
      </c>
      <c r="AE24" s="140">
        <f>'Estrategia 15'!$G$12</f>
        <v>3</v>
      </c>
      <c r="AF24" s="140" t="str">
        <f>'Estrategia 15'!$H$12</f>
        <v/>
      </c>
      <c r="AG24" s="140" t="str">
        <f>'Estrategia 15'!$I$12</f>
        <v/>
      </c>
      <c r="AH24" s="1"/>
    </row>
    <row r="25" spans="1:34" ht="45.75" customHeight="1" x14ac:dyDescent="0.25">
      <c r="A25" s="1"/>
      <c r="B25" s="115" t="s">
        <v>28</v>
      </c>
      <c r="C25" s="100" t="s">
        <v>114</v>
      </c>
      <c r="D25" s="73" t="s">
        <v>115</v>
      </c>
      <c r="E25" s="74">
        <v>0.01</v>
      </c>
      <c r="F25" s="76" t="str">
        <f>'Estrategia 16'!$D$7</f>
        <v>Não cumpre</v>
      </c>
      <c r="G25" s="88">
        <f t="shared" si="0"/>
        <v>0</v>
      </c>
      <c r="H25" s="140">
        <f>'Estrategia 16'!$F$7</f>
        <v>2</v>
      </c>
      <c r="I25" s="140">
        <f>'Estrategia 16'!$G$7</f>
        <v>3</v>
      </c>
      <c r="J25" s="140" t="str">
        <f>'Estrategia 16'!$H$7</f>
        <v/>
      </c>
      <c r="K25" s="140" t="str">
        <f>'Estrategia 16'!$I$7</f>
        <v/>
      </c>
      <c r="L25" s="76" t="str">
        <f>IF('Estrategia 16'!$D$10="","",'Estrategia 16'!$D$10)</f>
        <v>Cumpre</v>
      </c>
      <c r="M25" s="77">
        <f t="shared" si="1"/>
        <v>6.9999999999999993E-3</v>
      </c>
      <c r="N25" s="78">
        <f t="shared" si="3"/>
        <v>0</v>
      </c>
      <c r="O25" s="140" t="str">
        <f>'Estrategia 16'!$F$10</f>
        <v>D</v>
      </c>
      <c r="P25" s="140" t="str">
        <f>'Estrategia 16'!$G$10</f>
        <v>D</v>
      </c>
      <c r="Q25" s="140" t="str">
        <f>'Estrategia 16'!$H$10</f>
        <v>D</v>
      </c>
      <c r="R25" s="140" t="str">
        <f>'Estrategia 16'!$I$10</f>
        <v>D</v>
      </c>
      <c r="S25" s="156">
        <f>IF('Estrategia 16'!$M$10="","",'Estrategia 16'!$M$10)</f>
        <v>3</v>
      </c>
      <c r="T25" s="104" t="str">
        <f>IF('Estrategia 16'!$O$10="","",'Estrategia 16'!$O$10)</f>
        <v>Alta</v>
      </c>
      <c r="U25" s="154">
        <f>IF('Estrategia 16'!$Q$9&lt;=Estratégia!$U$6,0.5,0)+IF('Estrategia 16'!$S$9&gt;=Estratégia!$U$6,0.5,0)</f>
        <v>0.5</v>
      </c>
      <c r="V25" s="155">
        <f>IF('Estrategia 16'!$Q$9&lt;=Estratégia!$V$6,0.5,0)+IF('Estrategia 16'!$S$9&gt;=Estratégia!$V$6,0.5,0)</f>
        <v>0.5</v>
      </c>
      <c r="W25" s="155">
        <f>IF('Estrategia 16'!$Q$9&lt;=Estratégia!$W$6,0.5,0)+IF('Estrategia 16'!$S$9&gt;=Estratégia!$W$6,0.5,0)</f>
        <v>0.5</v>
      </c>
      <c r="X25" s="155">
        <f>IF('Estrategia 16'!$Q$9&lt;=Estratégia!$X$6,0.5,0)+IF('Estrategia 16'!$S$9&gt;=Estratégia!$X$6,0.5,0)</f>
        <v>0.5</v>
      </c>
      <c r="Y25" s="155">
        <f>IF('Estrategia 16'!$Q$9&lt;=Estratégia!$Y$6,0.5,0)+IF('Estrategia 16'!$S$9&gt;=Estratégia!$Y$6,0.5,0)</f>
        <v>0.5</v>
      </c>
      <c r="Z25" s="79" t="str">
        <f ca="1">IF(OR(AA25&lt;&gt;"",'Estrategia 16'!$D$15="No Planificado"),'Estrategia 16'!$D$15,IF(AND(AA25="",MONTH(TODAY())&gt;'Estrategia 16'!$S$9),"Retrasado","A Tiempo"))</f>
        <v>A Tiempo</v>
      </c>
      <c r="AA25" s="76" t="str">
        <f>IF('Estrategia 16'!$D$12="","",'Estrategia 16'!$D$12)</f>
        <v>Cumpre</v>
      </c>
      <c r="AB25" s="77">
        <f t="shared" si="2"/>
        <v>6.9999999999999993E-3</v>
      </c>
      <c r="AC25" s="78">
        <f t="shared" si="4"/>
        <v>1</v>
      </c>
      <c r="AD25" s="140">
        <f>'Estrategia 16'!$F$12</f>
        <v>3</v>
      </c>
      <c r="AE25" s="140">
        <f>'Estrategia 16'!$G$12</f>
        <v>3</v>
      </c>
      <c r="AF25" s="140" t="str">
        <f>'Estrategia 16'!$H$12</f>
        <v/>
      </c>
      <c r="AG25" s="140" t="str">
        <f>'Estrategia 16'!$I$12</f>
        <v/>
      </c>
      <c r="AH25" s="1"/>
    </row>
    <row r="26" spans="1:34"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11.25" customHeight="1" x14ac:dyDescent="0.25">
      <c r="A27" s="1"/>
      <c r="B27" s="82"/>
      <c r="C27" s="246" t="s">
        <v>10</v>
      </c>
      <c r="D27" s="246"/>
      <c r="E27" s="247">
        <f>SUM(E10:E25)</f>
        <v>0.25</v>
      </c>
      <c r="F27" s="293"/>
      <c r="G27" s="250">
        <f>SUM(G10:G25)</f>
        <v>9.1500000000000012E-2</v>
      </c>
      <c r="H27" s="89"/>
      <c r="I27" s="89"/>
      <c r="J27" s="89"/>
      <c r="K27" s="89"/>
      <c r="L27" s="83"/>
      <c r="M27" s="252">
        <f>SUM(M10:M25)</f>
        <v>0.20650000000000002</v>
      </c>
      <c r="N27" s="254">
        <f>IFERROR(G27/M27,"")</f>
        <v>0.4430992736077482</v>
      </c>
      <c r="O27" s="90"/>
      <c r="P27" s="90"/>
      <c r="Q27" s="90"/>
      <c r="R27" s="90"/>
      <c r="S27" s="90"/>
      <c r="T27" s="90"/>
      <c r="U27" s="90"/>
      <c r="V27" s="90"/>
      <c r="W27" s="90"/>
      <c r="X27" s="90"/>
      <c r="Y27" s="90"/>
      <c r="Z27" s="84"/>
      <c r="AA27" s="85"/>
      <c r="AB27" s="256">
        <f>SUM(AB10:AB25)</f>
        <v>0.18675</v>
      </c>
      <c r="AC27" s="258">
        <f>IFERROR(M27/AB27,"")</f>
        <v>1.1057563587684072</v>
      </c>
      <c r="AD27" s="245"/>
      <c r="AE27" s="245"/>
      <c r="AF27" s="245"/>
      <c r="AG27" s="245"/>
      <c r="AH27" s="1"/>
    </row>
    <row r="28" spans="1:34" ht="24" x14ac:dyDescent="0.25">
      <c r="A28" s="1"/>
      <c r="B28" s="82"/>
      <c r="C28" s="246"/>
      <c r="D28" s="246"/>
      <c r="E28" s="247"/>
      <c r="F28" s="294"/>
      <c r="G28" s="251"/>
      <c r="H28" s="89"/>
      <c r="I28" s="89"/>
      <c r="J28" s="89"/>
      <c r="K28" s="89"/>
      <c r="L28" s="86"/>
      <c r="M28" s="253"/>
      <c r="N28" s="255"/>
      <c r="O28" s="90"/>
      <c r="P28" s="90"/>
      <c r="Q28" s="90"/>
      <c r="R28" s="90"/>
      <c r="S28" s="90"/>
      <c r="T28" s="90"/>
      <c r="U28" s="90"/>
      <c r="V28" s="90"/>
      <c r="W28" s="90"/>
      <c r="X28" s="90"/>
      <c r="Y28" s="90"/>
      <c r="Z28" s="84"/>
      <c r="AA28" s="85"/>
      <c r="AB28" s="256"/>
      <c r="AC28" s="258"/>
      <c r="AD28" s="245"/>
      <c r="AE28" s="245"/>
      <c r="AF28" s="245"/>
      <c r="AG28" s="245"/>
      <c r="AH28" s="1"/>
    </row>
    <row r="29" spans="1:34"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row>
  </sheetData>
  <autoFilter ref="B9:AG9" xr:uid="{5B88BAE5-1A4A-4F1A-ACB2-ADBC8825C37C}"/>
  <dataConsolidate/>
  <mergeCells count="49">
    <mergeCell ref="C7:C8"/>
    <mergeCell ref="D7:D8"/>
    <mergeCell ref="E7:E8"/>
    <mergeCell ref="F7:F8"/>
    <mergeCell ref="G7:G8"/>
    <mergeCell ref="AF7:AF8"/>
    <mergeCell ref="AG7:AG8"/>
    <mergeCell ref="B7:B8"/>
    <mergeCell ref="K7:K8"/>
    <mergeCell ref="J7:J8"/>
    <mergeCell ref="I7:I8"/>
    <mergeCell ref="H7:H8"/>
    <mergeCell ref="AA7:AA8"/>
    <mergeCell ref="AB7:AB8"/>
    <mergeCell ref="T7:T8"/>
    <mergeCell ref="O7:O8"/>
    <mergeCell ref="P7:P8"/>
    <mergeCell ref="Q7:Q8"/>
    <mergeCell ref="R7:R8"/>
    <mergeCell ref="U7:U8"/>
    <mergeCell ref="W7:W8"/>
    <mergeCell ref="F3:AE3"/>
    <mergeCell ref="N7:N8"/>
    <mergeCell ref="AC7:AC8"/>
    <mergeCell ref="B5:D5"/>
    <mergeCell ref="AD7:AD8"/>
    <mergeCell ref="AE7:AE8"/>
    <mergeCell ref="F5:J5"/>
    <mergeCell ref="L5:M5"/>
    <mergeCell ref="Z5:AA5"/>
    <mergeCell ref="Z7:Z8"/>
    <mergeCell ref="S7:S8"/>
    <mergeCell ref="V7:V8"/>
    <mergeCell ref="X7:X8"/>
    <mergeCell ref="Y7:Y8"/>
    <mergeCell ref="L7:L8"/>
    <mergeCell ref="M7:M8"/>
    <mergeCell ref="AG27:AG28"/>
    <mergeCell ref="N27:N28"/>
    <mergeCell ref="AC27:AC28"/>
    <mergeCell ref="AD27:AD28"/>
    <mergeCell ref="AE27:AE28"/>
    <mergeCell ref="AF27:AF28"/>
    <mergeCell ref="AB27:AB28"/>
    <mergeCell ref="C27:D28"/>
    <mergeCell ref="E27:E28"/>
    <mergeCell ref="F27:F28"/>
    <mergeCell ref="G27:G28"/>
    <mergeCell ref="M27:M28"/>
  </mergeCells>
  <conditionalFormatting sqref="H10:K25">
    <cfRule type="iconSet" priority="7">
      <iconSet showValue="0">
        <cfvo type="percent" val="0"/>
        <cfvo type="num" val="2"/>
        <cfvo type="num" val="3"/>
      </iconSet>
    </cfRule>
  </conditionalFormatting>
  <conditionalFormatting sqref="N10:N25">
    <cfRule type="dataBar" priority="9">
      <dataBar showValue="0">
        <cfvo type="min"/>
        <cfvo type="max"/>
        <color rgb="FF63C384"/>
      </dataBar>
      <extLst>
        <ext xmlns:x14="http://schemas.microsoft.com/office/spreadsheetml/2009/9/main" uri="{B025F937-C7B1-47D3-B67F-A62EFF666E3E}">
          <x14:id>{EC78AD60-2855-4AD1-9669-3D0CCEC7BBDF}</x14:id>
        </ext>
      </extLst>
    </cfRule>
  </conditionalFormatting>
  <conditionalFormatting sqref="O10:R25">
    <cfRule type="iconSet" priority="5">
      <iconSet showValue="0">
        <cfvo type="percent" val="0"/>
        <cfvo type="num" val="2"/>
        <cfvo type="num" val="3"/>
      </iconSet>
    </cfRule>
  </conditionalFormatting>
  <conditionalFormatting sqref="U10:Y25">
    <cfRule type="cellIs" dxfId="1041" priority="2" operator="equal">
      <formula>2</formula>
    </cfRule>
    <cfRule type="cellIs" dxfId="1040" priority="3" operator="equal">
      <formula>1</formula>
    </cfRule>
    <cfRule type="cellIs" dxfId="1039" priority="4" operator="equal">
      <formula>0</formula>
    </cfRule>
  </conditionalFormatting>
  <conditionalFormatting sqref="AC10:AC25">
    <cfRule type="dataBar" priority="8">
      <dataBar showValue="0">
        <cfvo type="min"/>
        <cfvo type="max"/>
        <color theme="6" tint="0.39997558519241921"/>
      </dataBar>
      <extLst>
        <ext xmlns:x14="http://schemas.microsoft.com/office/spreadsheetml/2009/9/main" uri="{B025F937-C7B1-47D3-B67F-A62EFF666E3E}">
          <x14:id>{BBFADA60-D5E2-4C2F-A5B7-9D849077942B}</x14:id>
        </ext>
      </extLst>
    </cfRule>
  </conditionalFormatting>
  <conditionalFormatting sqref="AD10:AG25">
    <cfRule type="iconSet" priority="6">
      <iconSet showValue="0">
        <cfvo type="percent" val="0"/>
        <cfvo type="num" val="2"/>
        <cfvo type="num" val="3"/>
      </iconSet>
    </cfRule>
  </conditionalFormatting>
  <hyperlinks>
    <hyperlink ref="C10" location="'Estrategia 1'!A1" display="1." xr:uid="{8618D2FD-596E-46C5-AA98-F269F7FFBE6E}"/>
    <hyperlink ref="D10" location="'Estrategia 1'!A1" display="Misión y visión" xr:uid="{B257514D-4F5B-4BAF-9414-D1778621BC50}"/>
    <hyperlink ref="C11" location="'Estrategia 2'!A1" display="2." xr:uid="{0D34F190-7B03-4A32-B3EE-33F2789FB476}"/>
    <hyperlink ref="D11" location="'Estrategia 2'!A1" display="Catálogo de equipos" xr:uid="{B1B43733-779C-4CBD-9440-3274E6E2F078}"/>
    <hyperlink ref="C12" location="'Estrategia 3'!A1" display="3." xr:uid="{AFD78BDB-F35D-4756-8994-7875D8D111FF}"/>
    <hyperlink ref="C13" location="'Estrategia 4'!A1" display="4." xr:uid="{0A0F31E9-D6E3-42A0-B868-1C298B5FEB04}"/>
    <hyperlink ref="D13" location="'Estrategia 4'!A1" display="Planograma" xr:uid="{A5C2C3A2-B407-4F06-B8C3-2AD2E054894D}"/>
    <hyperlink ref="C14" location="'Estrategia 5'!A1" display="5." xr:uid="{A1F756AF-B3A7-421C-9E6A-B3188D90D437}"/>
    <hyperlink ref="C15" location="'Estrategia 6'!A1" display="6." xr:uid="{93D8B662-8241-4FDE-AC3A-05368B5A23D4}"/>
    <hyperlink ref="C16" location="'Estrategia 7'!A1" display="7." xr:uid="{EEA3FA1F-7B3A-4293-ADBD-04BA2D90631C}"/>
    <hyperlink ref="C17" location="'Estrategia 8'!A1" display="8." xr:uid="{33F7EB0E-0D88-472D-A3AA-26BBC3398181}"/>
    <hyperlink ref="C18" location="'Estrategia 9'!A1" display="9." xr:uid="{284BC2CA-2F6A-4C83-B6F3-40EF17329F95}"/>
    <hyperlink ref="D18" location="'Estrategia 9'!A1" display="Satisfacción del cliente " xr:uid="{EBB2B1CE-F76A-49EF-9E8A-E3CBD9994F69}"/>
    <hyperlink ref="C19" location="'Estrategia 10'!A1" display="10." xr:uid="{8B0BF29F-4AB4-49CF-879F-D5B19D9C0928}"/>
    <hyperlink ref="D19" location="'Estrategia 10'!A1" display="Rutina de visita al mercado" xr:uid="{87FF5565-E7DB-431F-90E8-5A9CF5962171}"/>
    <hyperlink ref="C20" location="'Estrategia 11'!A1" display="11." xr:uid="{6C2F852A-3D17-4B77-A3E5-8A1CA023484E}"/>
    <hyperlink ref="C21" location="'Estrategia 12'!A1" display="12." xr:uid="{A0263932-C252-4373-869B-44D3C3231ED0}"/>
    <hyperlink ref="C22" location="'Estrategia 13'!A1" display="13." xr:uid="{C1560A41-3930-4717-91F3-4E9D414C9542}"/>
    <hyperlink ref="C23" location="'Estrategia 14'!A1" display="14." xr:uid="{5BD4D15B-2785-4B53-B9A5-DBAAAA06288D}"/>
    <hyperlink ref="C24" location="'Estrategia 16'!A1" display="15." xr:uid="{B53517AD-A584-4A70-96EE-400FAE323BD3}"/>
    <hyperlink ref="C25" location="'Estrategia 16'!A1" display="16." xr:uid="{5E21CDF9-5FDA-4FAC-849E-99891138841B}"/>
    <hyperlink ref="D20" location="'Estrategia 11'!A1" display="Estrategia de conectividad" xr:uid="{4003E920-EB21-47FB-8FB4-763FB439FE63}"/>
    <hyperlink ref="D12" location="'Estrategia 3'!A1" display="Fotografía de éxito" xr:uid="{1FFB9363-BDAB-42D0-80BF-4101CB31F904}"/>
    <hyperlink ref="D14" location="'Estrategia 5'!A1" display="Planificación hacia full potential" xr:uid="{1982A0C3-6DF6-40E9-A4F9-3276799FD449}"/>
    <hyperlink ref="D15" location="'Estrategia 6'!A1" display="Gestión P&amp;L del Área de EDF" xr:uid="{A593190B-7B40-4D74-82BC-279FB46C169C}"/>
    <hyperlink ref="D16" location="'Estrategia 7'!A1" display="Visita al mercado" xr:uid="{0C8639F3-EB2C-4C52-9752-6764DF3C31A7}"/>
    <hyperlink ref="D17" location="'Estrategia 8'!A1" display="Rutinas de innovaciones " xr:uid="{A5193330-3346-41B4-9456-D92B9C9FEFBE}"/>
    <hyperlink ref="D21" location="'Estrategia 12'!A1" display="Estrategia de sustentabilidad" xr:uid="{5B5CD604-3A2D-4CD7-A553-6C0869D8BB56}"/>
    <hyperlink ref="D22" location="'Estrategia 13'!A1" display="Certificación E2E" xr:uid="{3E0D0DFD-7AC9-464F-8F91-66DC9C74095A}"/>
    <hyperlink ref="D23" location="'Estrategia 14'!A1" display="Compromiso con el Programa E2E" xr:uid="{101204B6-E9B2-47BF-9BE7-6A9A24EB3323}"/>
    <hyperlink ref="D24" location="'Estrategia 15'!A1" display="Savings del Programa E2E" xr:uid="{C214A738-FB08-42E1-AF26-A4E7CDB76768}"/>
    <hyperlink ref="D25" location="'Estrategia 16'!A1" display="Business review del Área de EDF" xr:uid="{CD1DE868-C126-4BF8-B82E-50F53D50E79F}"/>
  </hyperlinks>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dataBar" id="{EC78AD60-2855-4AD1-9669-3D0CCEC7BBDF}">
            <x14:dataBar minLength="0" maxLength="100">
              <x14:cfvo type="autoMin"/>
              <x14:cfvo type="autoMax"/>
              <x14:negativeFillColor rgb="FFFF0000"/>
              <x14:axisColor rgb="FF000000"/>
            </x14:dataBar>
          </x14:cfRule>
          <xm:sqref>N10:N25</xm:sqref>
        </x14:conditionalFormatting>
        <x14:conditionalFormatting xmlns:xm="http://schemas.microsoft.com/office/excel/2006/main">
          <x14:cfRule type="iconSet" priority="1" id="{B29D82D7-9E3B-4E88-B887-7F1B7C196351}">
            <x14:iconSet iconSet="3Stars" showValue="0">
              <x14:cfvo type="percent">
                <xm:f>0</xm:f>
              </x14:cfvo>
              <x14:cfvo type="num">
                <xm:f>2</xm:f>
              </x14:cfvo>
              <x14:cfvo type="num">
                <xm:f>3</xm:f>
              </x14:cfvo>
            </x14:iconSet>
          </x14:cfRule>
          <xm:sqref>S10:S25</xm:sqref>
        </x14:conditionalFormatting>
        <x14:conditionalFormatting xmlns:xm="http://schemas.microsoft.com/office/excel/2006/main">
          <x14:cfRule type="dataBar" id="{BBFADA60-D5E2-4C2F-A5B7-9D849077942B}">
            <x14:dataBar minLength="0" maxLength="100">
              <x14:cfvo type="autoMin"/>
              <x14:cfvo type="autoMax"/>
              <x14:negativeFillColor rgb="FFFF0000"/>
              <x14:axisColor rgb="FF000000"/>
            </x14:dataBar>
          </x14:cfRule>
          <xm:sqref>AC10:AC25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AEB8D-0735-4382-A603-66D24260BC5C}">
  <sheetPr codeName="Planilha11"/>
  <dimension ref="A1:AM29"/>
  <sheetViews>
    <sheetView showGridLines="0" zoomScale="55" zoomScaleNormal="50" workbookViewId="0">
      <pane xSplit="5" ySplit="9" topLeftCell="F10" activePane="bottomRight" state="frozen"/>
      <selection activeCell="C16" sqref="C16"/>
      <selection pane="topRight" activeCell="C16" sqref="C16"/>
      <selection pane="bottomLeft" activeCell="C16" sqref="C16"/>
      <selection pane="bottomRight" activeCell="C16" sqref="C16"/>
    </sheetView>
  </sheetViews>
  <sheetFormatPr defaultColWidth="0" defaultRowHeight="15" customHeight="1" zeroHeight="1" outlineLevelCol="1" x14ac:dyDescent="0.25"/>
  <cols>
    <col min="1" max="1" width="2.140625" customWidth="1"/>
    <col min="2" max="2" width="16.140625" customWidth="1"/>
    <col min="3" max="3" width="4.28515625" customWidth="1"/>
    <col min="4" max="4" width="39.28515625" customWidth="1"/>
    <col min="5" max="5" width="9.85546875" customWidth="1"/>
    <col min="6" max="6" width="20.42578125" customWidth="1"/>
    <col min="7" max="7" width="11.140625" customWidth="1"/>
    <col min="8" max="11" width="5.85546875" customWidth="1" outlineLevel="1"/>
    <col min="12" max="12" width="20.5703125" customWidth="1"/>
    <col min="13" max="13" width="11.5703125" customWidth="1"/>
    <col min="14" max="14" width="10.85546875" customWidth="1"/>
    <col min="15" max="18" width="5.85546875" customWidth="1" outlineLevel="1"/>
    <col min="19" max="19" width="12.42578125" customWidth="1" outlineLevel="1"/>
    <col min="20" max="20" width="16.85546875" customWidth="1" outlineLevel="1"/>
    <col min="21" max="21" width="6.140625" bestFit="1" customWidth="1" outlineLevel="1"/>
    <col min="22" max="25" width="6.7109375" customWidth="1" outlineLevel="1"/>
    <col min="26" max="26" width="19.42578125" customWidth="1"/>
    <col min="27" max="27" width="19.140625" customWidth="1"/>
    <col min="28" max="28" width="12.140625" customWidth="1"/>
    <col min="29" max="29" width="11.5703125" customWidth="1"/>
    <col min="30" max="33" width="5.85546875" customWidth="1" outlineLevel="1"/>
    <col min="34" max="34" width="9.140625" customWidth="1"/>
    <col min="35" max="39" width="0" hidden="1" customWidth="1"/>
    <col min="40" max="16384" width="9.140625" hidden="1"/>
  </cols>
  <sheetData>
    <row r="1" spans="1:33" ht="11.25" customHeight="1"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row>
    <row r="2" spans="1:33" ht="43.5" x14ac:dyDescent="0.35">
      <c r="B2" s="11"/>
      <c r="C2" s="11"/>
      <c r="D2" s="80" t="s">
        <v>0</v>
      </c>
      <c r="E2" s="80"/>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3" ht="43.5" x14ac:dyDescent="0.25">
      <c r="B3" s="10"/>
      <c r="C3" s="10"/>
      <c r="D3" s="81" t="s">
        <v>1</v>
      </c>
      <c r="E3" s="81"/>
      <c r="F3" s="296" t="s">
        <v>271</v>
      </c>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row>
    <row r="4" spans="1:33" ht="7.5" customHeight="1" x14ac:dyDescent="0.25"/>
    <row r="5" spans="1:33" ht="19.5" customHeight="1" x14ac:dyDescent="0.25">
      <c r="B5" s="237" t="s">
        <v>45</v>
      </c>
      <c r="C5" s="237"/>
      <c r="D5" s="237"/>
      <c r="F5" s="237" t="s">
        <v>46</v>
      </c>
      <c r="G5" s="237"/>
      <c r="H5" s="237"/>
      <c r="I5" s="237"/>
      <c r="J5" s="237"/>
      <c r="L5" s="237" t="s">
        <v>26</v>
      </c>
      <c r="M5" s="237"/>
      <c r="N5" s="64"/>
      <c r="O5" s="64"/>
      <c r="P5" s="64"/>
      <c r="Q5" s="64"/>
      <c r="R5" s="64"/>
      <c r="Z5" s="237" t="s">
        <v>47</v>
      </c>
      <c r="AA5" s="237"/>
      <c r="AB5" s="64"/>
      <c r="AC5" s="64"/>
      <c r="AD5" s="64"/>
      <c r="AE5" s="64"/>
      <c r="AF5" s="64"/>
    </row>
    <row r="6" spans="1:33" ht="11.25" customHeight="1" x14ac:dyDescent="0.25">
      <c r="U6" s="91">
        <v>6</v>
      </c>
      <c r="V6" s="91">
        <v>7</v>
      </c>
      <c r="W6" s="91">
        <v>8</v>
      </c>
      <c r="X6" s="91">
        <v>9</v>
      </c>
      <c r="Y6" s="91">
        <v>10</v>
      </c>
    </row>
    <row r="7" spans="1:33" ht="22.5" customHeight="1" x14ac:dyDescent="0.25">
      <c r="B7" s="239" t="s">
        <v>50</v>
      </c>
      <c r="C7" s="239" t="s">
        <v>51</v>
      </c>
      <c r="D7" s="239" t="s">
        <v>52</v>
      </c>
      <c r="E7" s="239" t="s">
        <v>53</v>
      </c>
      <c r="F7" s="240" t="s">
        <v>54</v>
      </c>
      <c r="G7" s="240" t="s">
        <v>55</v>
      </c>
      <c r="H7" s="241" t="s">
        <v>56</v>
      </c>
      <c r="I7" s="241" t="s">
        <v>57</v>
      </c>
      <c r="J7" s="241" t="s">
        <v>58</v>
      </c>
      <c r="K7" s="241" t="s">
        <v>59</v>
      </c>
      <c r="L7" s="238" t="s">
        <v>60</v>
      </c>
      <c r="M7" s="238" t="s">
        <v>61</v>
      </c>
      <c r="N7" s="238" t="s">
        <v>62</v>
      </c>
      <c r="O7" s="243" t="s">
        <v>56</v>
      </c>
      <c r="P7" s="243" t="s">
        <v>57</v>
      </c>
      <c r="Q7" s="243" t="s">
        <v>58</v>
      </c>
      <c r="R7" s="243" t="s">
        <v>59</v>
      </c>
      <c r="S7" s="244" t="s">
        <v>63</v>
      </c>
      <c r="T7" s="244" t="s">
        <v>64</v>
      </c>
      <c r="U7" s="242" t="s">
        <v>65</v>
      </c>
      <c r="V7" s="242" t="s">
        <v>66</v>
      </c>
      <c r="W7" s="242" t="s">
        <v>67</v>
      </c>
      <c r="X7" s="242" t="s">
        <v>68</v>
      </c>
      <c r="Y7" s="242" t="s">
        <v>69</v>
      </c>
      <c r="Z7" s="257" t="s">
        <v>70</v>
      </c>
      <c r="AA7" s="257" t="s">
        <v>71</v>
      </c>
      <c r="AB7" s="257" t="s">
        <v>72</v>
      </c>
      <c r="AC7" s="257" t="s">
        <v>73</v>
      </c>
      <c r="AD7" s="245" t="s">
        <v>56</v>
      </c>
      <c r="AE7" s="245" t="s">
        <v>57</v>
      </c>
      <c r="AF7" s="245" t="s">
        <v>58</v>
      </c>
      <c r="AG7" s="245" t="s">
        <v>59</v>
      </c>
    </row>
    <row r="8" spans="1:33" ht="15" customHeight="1" x14ac:dyDescent="0.25">
      <c r="B8" s="239"/>
      <c r="C8" s="239"/>
      <c r="D8" s="239"/>
      <c r="E8" s="239"/>
      <c r="F8" s="240"/>
      <c r="G8" s="240"/>
      <c r="H8" s="241"/>
      <c r="I8" s="241"/>
      <c r="J8" s="241"/>
      <c r="K8" s="241"/>
      <c r="L8" s="238"/>
      <c r="M8" s="238"/>
      <c r="N8" s="238"/>
      <c r="O8" s="243"/>
      <c r="P8" s="243"/>
      <c r="Q8" s="243"/>
      <c r="R8" s="243"/>
      <c r="S8" s="244"/>
      <c r="T8" s="244"/>
      <c r="U8" s="242"/>
      <c r="V8" s="242"/>
      <c r="W8" s="242"/>
      <c r="X8" s="242"/>
      <c r="Y8" s="242"/>
      <c r="Z8" s="257"/>
      <c r="AA8" s="257"/>
      <c r="AB8" s="257"/>
      <c r="AC8" s="257"/>
      <c r="AD8" s="245"/>
      <c r="AE8" s="245"/>
      <c r="AF8" s="245"/>
      <c r="AG8" s="245"/>
    </row>
    <row r="9" spans="1:33" ht="15" customHeight="1" x14ac:dyDescent="0.25">
      <c r="B9" s="119" t="s">
        <v>74</v>
      </c>
      <c r="C9" s="119" t="s">
        <v>51</v>
      </c>
      <c r="D9" s="119" t="s">
        <v>52</v>
      </c>
      <c r="E9" s="119" t="s">
        <v>53</v>
      </c>
      <c r="F9" s="120" t="s">
        <v>54</v>
      </c>
      <c r="G9" s="120" t="s">
        <v>75</v>
      </c>
      <c r="H9" s="121" t="s">
        <v>56</v>
      </c>
      <c r="I9" s="121" t="s">
        <v>57</v>
      </c>
      <c r="J9" s="121" t="s">
        <v>58</v>
      </c>
      <c r="K9" s="121" t="s">
        <v>59</v>
      </c>
      <c r="L9" s="122" t="s">
        <v>60</v>
      </c>
      <c r="M9" s="122" t="s">
        <v>76</v>
      </c>
      <c r="N9" s="122" t="s">
        <v>77</v>
      </c>
      <c r="O9" s="137" t="s">
        <v>56</v>
      </c>
      <c r="P9" s="137" t="s">
        <v>57</v>
      </c>
      <c r="Q9" s="137" t="s">
        <v>58</v>
      </c>
      <c r="R9" s="137" t="s">
        <v>59</v>
      </c>
      <c r="S9" s="138" t="s">
        <v>63</v>
      </c>
      <c r="T9" s="138" t="s">
        <v>64</v>
      </c>
      <c r="U9" s="139" t="s">
        <v>65</v>
      </c>
      <c r="V9" s="139" t="s">
        <v>66</v>
      </c>
      <c r="W9" s="139" t="s">
        <v>67</v>
      </c>
      <c r="X9" s="139" t="s">
        <v>68</v>
      </c>
      <c r="Y9" s="139" t="s">
        <v>69</v>
      </c>
      <c r="Z9" s="123" t="s">
        <v>70</v>
      </c>
      <c r="AA9" s="123" t="s">
        <v>71</v>
      </c>
      <c r="AB9" s="123" t="s">
        <v>72</v>
      </c>
      <c r="AC9" s="123" t="s">
        <v>73</v>
      </c>
      <c r="AD9" s="124" t="s">
        <v>56</v>
      </c>
      <c r="AE9" s="124" t="s">
        <v>57</v>
      </c>
      <c r="AF9" s="124" t="s">
        <v>58</v>
      </c>
      <c r="AG9" s="124" t="s">
        <v>59</v>
      </c>
    </row>
    <row r="10" spans="1:33" ht="47.25" customHeight="1" x14ac:dyDescent="0.25">
      <c r="B10" s="115" t="s">
        <v>87</v>
      </c>
      <c r="C10" s="100" t="s">
        <v>79</v>
      </c>
      <c r="D10" s="71" t="s">
        <v>117</v>
      </c>
      <c r="E10" s="72">
        <v>1.4999999999999999E-2</v>
      </c>
      <c r="F10" s="76" t="str">
        <f>'Adquisición 1'!$D$7</f>
        <v>Melhor Prática</v>
      </c>
      <c r="G10" s="88">
        <f>IF($F10="Não cumpre",0,IF($F10="Parcial",$E10*0.4,IF($F10="Cumpre",$E10*0.7,IF($F10="Mais que cumpre",$E10*0.85,IF($F10="Melhor Prática",E10,0)))))</f>
        <v>1.4999999999999999E-2</v>
      </c>
      <c r="H10" s="103">
        <f>'Adquisición 1'!$F$7</f>
        <v>3</v>
      </c>
      <c r="I10" s="103">
        <f>'Adquisición 1'!$G$7</f>
        <v>3</v>
      </c>
      <c r="J10" s="103">
        <f>'Adquisición 1'!$H$7</f>
        <v>3</v>
      </c>
      <c r="K10" s="103">
        <f>'Adquisición 1'!$I$7</f>
        <v>3</v>
      </c>
      <c r="L10" s="76" t="str">
        <f>IF('Adquisición 1'!$D$10="","",'Adquisición 1'!$D$10)</f>
        <v>Melhor Prática</v>
      </c>
      <c r="M10" s="77">
        <f>IF($L10="Não cumpre",0,IF($L10="Parcial",$E10*0.4,IF($L10="Cumpre",$E10*0.7,IF($L10="Mais que cumpre",$E10*0.85,IF($L10="Melhor Prática",E10,0)))))</f>
        <v>1.4999999999999999E-2</v>
      </c>
      <c r="N10" s="78">
        <f>IFERROR(G10/M10,"")</f>
        <v>1</v>
      </c>
      <c r="O10" s="103" t="str">
        <f>'Adquisición 1'!$F$10</f>
        <v>-</v>
      </c>
      <c r="P10" s="103" t="str">
        <f>'Adquisición 1'!$G$10</f>
        <v>-</v>
      </c>
      <c r="Q10" s="103" t="str">
        <f>'Adquisición 1'!$H$10</f>
        <v>-</v>
      </c>
      <c r="R10" s="103" t="str">
        <f>'Adquisición 1'!$I$10</f>
        <v>D</v>
      </c>
      <c r="S10" s="117">
        <f>IF('Adquisición 1'!$M$10="","",'Adquisición 1'!$M$10)</f>
        <v>1</v>
      </c>
      <c r="T10" s="104" t="str">
        <f>IF('Adquisición 1'!$O$10="","",'Adquisición 1'!$O$10)</f>
        <v>No Planificado</v>
      </c>
      <c r="U10" s="95">
        <f>IF('Adquisición 1'!$Q$9&lt;=Estratégia!$U$6,0.5,0)+IF('Adquisición 1'!$S$9&gt;='Estrategia 1'!$U$6,0.5,0)</f>
        <v>0.5</v>
      </c>
      <c r="V10" s="94">
        <f>IF('Adquisición 1'!$Q$9&lt;=Estratégia!$V$6,0.5,0)+IF('Adquisición 1'!$S$9&gt;=Estratégia!$V$6,0.5,0)</f>
        <v>0.5</v>
      </c>
      <c r="W10" s="94">
        <f>IF('Adquisición 1'!$Q$9&lt;=Estratégia!$W$6,0.5,0)+IF('Adquisición 1'!$S$9&gt;=Estratégia!$W$6,0.5,0)</f>
        <v>0.5</v>
      </c>
      <c r="X10" s="94">
        <f>IF('Adquisición 1'!$Q$9&lt;=Estratégia!$X$6,0.5,0)+IF('Adquisición 1'!$S$9&gt;=Estratégia!$X$6,0.5,0)</f>
        <v>0.5</v>
      </c>
      <c r="Y10" s="94">
        <f>IF('Adquisición 1'!$Q$9&lt;=Estratégia!$Y$6,0.5,0)+IF('Adquisición 1'!$S$9&gt;=Estratégia!$Y$6,0.5,0)</f>
        <v>0.5</v>
      </c>
      <c r="Z10" s="79" t="str">
        <f ca="1">IF(OR(AA10&lt;&gt;"",'Adquisición 1'!$D$15="No Planificado"),'Adquisición 1'!$D$15,IF(AND(AA10="",MONTH(TODAY())&gt;'Adquisición 1'!$S$9),"Retrasado","A Tiempo"))</f>
        <v>A Tiempo</v>
      </c>
      <c r="AA10" s="76" t="str">
        <f>IF('Adquisición 1'!$D$12="","",'Adquisición 1'!$D$12)</f>
        <v>Melhor Prática</v>
      </c>
      <c r="AB10" s="77">
        <f>IF($AA10="Não cumpre",0,IF($AA10="Parcial",$E10*0.4,IF($AA10="Cumpre",$E10*0.7,IF($AA10="Mais que cumpre",$E10*0.85,IF($AA10="Melhor Prática",E10,0)))))</f>
        <v>1.4999999999999999E-2</v>
      </c>
      <c r="AC10" s="78">
        <f>IFERROR(AB10/M10,"")</f>
        <v>1</v>
      </c>
      <c r="AD10" s="103">
        <f>'Adquisición 1'!$F$12</f>
        <v>3</v>
      </c>
      <c r="AE10" s="103">
        <f>'Adquisición 1'!$G$12</f>
        <v>3</v>
      </c>
      <c r="AF10" s="103">
        <f>'Adquisición 1'!$H$12</f>
        <v>3</v>
      </c>
      <c r="AG10" s="103">
        <f>'Adquisición 1'!$I$12</f>
        <v>3</v>
      </c>
    </row>
    <row r="11" spans="1:33" ht="45.75" customHeight="1" x14ac:dyDescent="0.25">
      <c r="B11" s="115" t="s">
        <v>118</v>
      </c>
      <c r="C11" s="100" t="s">
        <v>81</v>
      </c>
      <c r="D11" s="73" t="s">
        <v>119</v>
      </c>
      <c r="E11" s="74">
        <v>0.01</v>
      </c>
      <c r="F11" s="76" t="str">
        <f>'Adquisición 2'!$D$7</f>
        <v>Parcial</v>
      </c>
      <c r="G11" s="88">
        <f>IF($F11="Não cumpre",0,IF($F11="Parcial",$E11*0.4,IF($F11="Cumpre",$E11*0.7,IF($F11="Mais que cumpre",$E11*0.85,IF($F11="Melhor Prática",E11,0)))))</f>
        <v>4.0000000000000001E-3</v>
      </c>
      <c r="H11" s="103">
        <f>'Adquisición 2'!$F$7</f>
        <v>3</v>
      </c>
      <c r="I11" s="103">
        <f>'Adquisición 2'!$G$7</f>
        <v>2</v>
      </c>
      <c r="J11" s="103">
        <f>'Adquisición 2'!$H$7</f>
        <v>1</v>
      </c>
      <c r="K11" s="103" t="str">
        <f>'Adquisición 2'!$I$7</f>
        <v/>
      </c>
      <c r="L11" s="76" t="str">
        <f>IF('Adquisición 2'!$D$10="","",'Adquisición 2'!$D$10)</f>
        <v>Cumpre</v>
      </c>
      <c r="M11" s="77">
        <f t="shared" ref="M11:M14" si="0">IF($L11="Não cumpre",0,IF($L11="Parcial",$E11*0.4,IF($L11="Cumpre",$E11*0.7,IF($L11="Mais que cumpre",$E11*0.85,IF($L11="Melhor Prática",E11,0)))))</f>
        <v>6.9999999999999993E-3</v>
      </c>
      <c r="N11" s="78">
        <f t="shared" ref="N11:N14" si="1">IFERROR(G11/M11,"")</f>
        <v>0.57142857142857151</v>
      </c>
      <c r="O11" s="103" t="str">
        <f>'Adquisición 2'!$F$10</f>
        <v>D</v>
      </c>
      <c r="P11" s="103" t="str">
        <f>'Adquisición 2'!$G$10</f>
        <v>-</v>
      </c>
      <c r="Q11" s="103" t="str">
        <f>'Adquisición 2'!$H$10</f>
        <v>-</v>
      </c>
      <c r="R11" s="103" t="str">
        <f>'Adquisición 2'!$I$10</f>
        <v>D</v>
      </c>
      <c r="S11" s="118" t="str">
        <f>IF('Adquisición 2'!$M$10="","",'Adquisición 2'!$M$10)</f>
        <v/>
      </c>
      <c r="T11" s="104" t="str">
        <f>IF('Adquisición 2'!$O$10="","",'Adquisición 2'!$O$10)</f>
        <v/>
      </c>
      <c r="U11" s="95">
        <f>IF('Adquisición 2'!$Q$9&lt;=Estratégia!$U$6,0.5,0)+IF('Adquisición 2'!$S$9&gt;='Estrategia 1'!$U$6,0.5,0)</f>
        <v>0.5</v>
      </c>
      <c r="V11" s="94">
        <f>IF('Adquisición 2'!$Q$9&lt;=Estratégia!$V$6,0.5,0)+IF('Adquisición 2'!$S$9&gt;=Estratégia!$V$6,0.5,0)</f>
        <v>0.5</v>
      </c>
      <c r="W11" s="94">
        <f>IF('Adquisición 2'!$Q$9&lt;=Estratégia!$W$6,0.5,0)+IF('Adquisición 2'!$S$9&gt;=Estratégia!$W$6,0.5,0)</f>
        <v>0.5</v>
      </c>
      <c r="X11" s="94">
        <f>IF('Adquisición 2'!$Q$9&lt;=Estratégia!$X$6,0.5,0)+IF('Adquisición 2'!$S$9&gt;=Estratégia!$X$6,0.5,0)</f>
        <v>0.5</v>
      </c>
      <c r="Y11" s="94">
        <f>IF('Adquisición 2'!$Q$9&lt;=Estratégia!$Y$6,0.5,0)+IF('Adquisición 2'!$S$9&gt;=Estratégia!$Y$6,0.5,0)</f>
        <v>0.5</v>
      </c>
      <c r="Z11" s="79" t="str">
        <f ca="1">IF(OR(AA11&lt;&gt;"",'Adquisición 2'!$D$15="No Planificado"),'Adquisición 2'!$D$15,IF(AND(AA11="",MONTH(TODAY())&gt;'Adquisición 2'!$S$9),"Retrasado","A Tiempo"))</f>
        <v>No Planificado</v>
      </c>
      <c r="AA11" s="76" t="str">
        <f>IF('Adquisición 2'!$D$12="","",'Adquisición 2'!$D$12)</f>
        <v>Cumpre</v>
      </c>
      <c r="AB11" s="77">
        <f>IF($AA11="Não cumpre",0,IF($AA11="Parcial",$E11*0.4,IF($AA11="Cumpre",$E11*0.7,IF($AA11="Mais que cumpre",$E11*0.85,IF($AA11="Melhor Prática",E11,0)))))</f>
        <v>6.9999999999999993E-3</v>
      </c>
      <c r="AC11" s="78">
        <f t="shared" ref="AC11:AC14" si="2">IFERROR(AB11/M11,"")</f>
        <v>1</v>
      </c>
      <c r="AD11" s="103">
        <f>'Adquisición 2'!$F$12</f>
        <v>3</v>
      </c>
      <c r="AE11" s="103">
        <f>'Adquisición 2'!$G$12</f>
        <v>3</v>
      </c>
      <c r="AF11" s="103">
        <f>'Adquisición 2'!$H$12</f>
        <v>1</v>
      </c>
      <c r="AG11" s="103">
        <f>'Adquisición 2'!$I$12</f>
        <v>1</v>
      </c>
    </row>
    <row r="12" spans="1:33" ht="45.75" customHeight="1" x14ac:dyDescent="0.25">
      <c r="B12" s="115" t="s">
        <v>99</v>
      </c>
      <c r="C12" s="100" t="s">
        <v>83</v>
      </c>
      <c r="D12" s="71" t="s">
        <v>120</v>
      </c>
      <c r="E12" s="72">
        <v>0.01</v>
      </c>
      <c r="F12" s="76" t="str">
        <f>'Adquisición 3'!$D$7</f>
        <v>Melhor Prática</v>
      </c>
      <c r="G12" s="88">
        <f>IF($F12="Não cumpre",0,IF($F12="Parcial",$E12*0.4,IF($F12="Cumpre",$E12*0.7,IF($F12="Mais que cumpre",$E12*0.85,IF($F12="Melhor Prática",E12,0)))))</f>
        <v>0.01</v>
      </c>
      <c r="H12" s="103">
        <f>'Adquisición 3'!$F$7</f>
        <v>3</v>
      </c>
      <c r="I12" s="103">
        <f>'Adquisición 3'!$G$7</f>
        <v>3</v>
      </c>
      <c r="J12" s="103">
        <f>'Adquisición 3'!$H$7</f>
        <v>3</v>
      </c>
      <c r="K12" s="103">
        <f>'Adquisición 3'!$I$7</f>
        <v>3</v>
      </c>
      <c r="L12" s="76" t="str">
        <f>IF('Adquisición 3'!$D$10="","",'Adquisición 3'!$D$10)</f>
        <v>Melhor Prática</v>
      </c>
      <c r="M12" s="77">
        <f t="shared" si="0"/>
        <v>0.01</v>
      </c>
      <c r="N12" s="78">
        <f t="shared" si="1"/>
        <v>1</v>
      </c>
      <c r="O12" s="103" t="str">
        <f>'Adquisición 3'!$F$10</f>
        <v>D</v>
      </c>
      <c r="P12" s="103" t="str">
        <f>'Adquisición 3'!$G$10</f>
        <v>D</v>
      </c>
      <c r="Q12" s="103" t="str">
        <f>'Adquisición 3'!$H$10</f>
        <v>D</v>
      </c>
      <c r="R12" s="103" t="str">
        <f>'Adquisición 3'!$I$10</f>
        <v>-</v>
      </c>
      <c r="S12" s="118">
        <f>IF('Adquisición 3'!$M$10="","",'Adquisición 3'!$M$10)</f>
        <v>3</v>
      </c>
      <c r="T12" s="104" t="str">
        <f>IF('Adquisición 3'!$O$10="","",'Adquisición 3'!$O$10)</f>
        <v>Baja</v>
      </c>
      <c r="U12" s="95">
        <f>IF('Adquisición 3'!$Q$9&lt;=Estratégia!$U$6,0.5,0)+IF('Adquisición 3'!$S$9&gt;='Estrategia 1'!$U$6,0.5,0)</f>
        <v>0.5</v>
      </c>
      <c r="V12" s="94">
        <f>IF('Adquisición 3'!$Q$9&lt;=Estratégia!$V$6,0.5,0)+IF('Adquisición 3'!$S$9&gt;=Estratégia!$V$6,0.5,0)</f>
        <v>0.5</v>
      </c>
      <c r="W12" s="94">
        <f>IF('Adquisición 3'!$Q$9&lt;=Estratégia!$W$6,0.5,0)+IF('Adquisición 3'!$S$9&gt;=Estratégia!$W$6,0.5,0)</f>
        <v>0.5</v>
      </c>
      <c r="X12" s="94">
        <f>IF('Adquisición 3'!$Q$9&lt;=Estratégia!$X$6,0.5,0)+IF('Adquisición 3'!$S$9&gt;=Estratégia!$X$6,0.5,0)</f>
        <v>0.5</v>
      </c>
      <c r="Y12" s="94">
        <f>IF('Adquisición 3'!$Q$9&lt;=Estratégia!$Y$6,0.5,0)+IF('Adquisición 3'!$S$9&gt;=Estratégia!$Y$6,0.5,0)</f>
        <v>0.5</v>
      </c>
      <c r="Z12" s="79" t="str">
        <f ca="1">IF(OR(AA12&lt;&gt;"",'Adquisición 3'!$D$15="No Planificado"),'Adquisición 3'!$D$15,IF(AND(AA12="",MONTH(TODAY())&gt;'Adquisición 3'!$S$9),"Retrasado","A Tiempo"))</f>
        <v>A Tiempo</v>
      </c>
      <c r="AA12" s="76" t="str">
        <f>IF('Adquisición 3'!$D$12="","",'Adquisición 3'!$D$12)</f>
        <v>Melhor Prática</v>
      </c>
      <c r="AB12" s="77">
        <f>IF($AA12="Não cumpre",0,IF($AA12="Parcial",$E12*0.4,IF($AA12="Cumpre",$E12*0.7,IF($AA12="Mais que cumpre",$E12*0.85,IF($AA12="Melhor Prática",E12,0)))))</f>
        <v>0.01</v>
      </c>
      <c r="AC12" s="78">
        <f t="shared" si="2"/>
        <v>1</v>
      </c>
      <c r="AD12" s="103">
        <f>'Adquisición 3'!$F$12</f>
        <v>3</v>
      </c>
      <c r="AE12" s="103">
        <f>'Adquisición 3'!$G$12</f>
        <v>3</v>
      </c>
      <c r="AF12" s="103">
        <f>'Adquisición 3'!$H$12</f>
        <v>3</v>
      </c>
      <c r="AG12" s="103">
        <f>'Adquisición 3'!$I$12</f>
        <v>3</v>
      </c>
    </row>
    <row r="13" spans="1:33" ht="45.75" customHeight="1" x14ac:dyDescent="0.25">
      <c r="B13" s="115" t="s">
        <v>99</v>
      </c>
      <c r="C13" s="100" t="s">
        <v>85</v>
      </c>
      <c r="D13" s="71" t="s">
        <v>121</v>
      </c>
      <c r="E13" s="74">
        <v>0.01</v>
      </c>
      <c r="F13" s="76" t="str">
        <f>'Adquisición 4'!$D$7</f>
        <v>Não cumpre</v>
      </c>
      <c r="G13" s="88">
        <f>IF($F13="Não cumpre",0,IF($F13="Parcial",$E13*0.4,IF($F13="Cumpre",$E13*0.7,IF($F13="Mais que cumpre",$E13*0.85,IF($F13="Melhor Prática",E13,0)))))</f>
        <v>0</v>
      </c>
      <c r="H13" s="103">
        <f>'Adquisición 4'!$F$7</f>
        <v>2</v>
      </c>
      <c r="I13" s="103">
        <f>'Adquisición 4'!$G$7</f>
        <v>2</v>
      </c>
      <c r="J13" s="103">
        <f>'Adquisición 4'!$H$7</f>
        <v>1</v>
      </c>
      <c r="K13" s="103">
        <f>'Adquisición 4'!$I$7</f>
        <v>1</v>
      </c>
      <c r="L13" s="76" t="str">
        <f>IF('Adquisición 4'!$D$10="","",'Adquisición 4'!$D$10)</f>
        <v>Mais que Cumpre</v>
      </c>
      <c r="M13" s="77">
        <f t="shared" si="0"/>
        <v>8.5000000000000006E-3</v>
      </c>
      <c r="N13" s="78">
        <f t="shared" si="1"/>
        <v>0</v>
      </c>
      <c r="O13" s="103" t="str">
        <f>'Adquisición 4'!$F$10</f>
        <v>-</v>
      </c>
      <c r="P13" s="103" t="str">
        <f>'Adquisición 4'!$G$10</f>
        <v>-</v>
      </c>
      <c r="Q13" s="103" t="str">
        <f>'Adquisición 4'!$H$10</f>
        <v>-</v>
      </c>
      <c r="R13" s="103" t="str">
        <f>'Adquisición 4'!$I$10</f>
        <v>-</v>
      </c>
      <c r="S13" s="118">
        <f>IF('Adquisición 4'!$M$10="","",'Adquisición 4'!$M$10)</f>
        <v>2</v>
      </c>
      <c r="T13" s="104" t="str">
        <f>IF('Adquisición 4'!$O$10="","",'Adquisición 4'!$O$10)</f>
        <v>Alta</v>
      </c>
      <c r="U13" s="95">
        <f>IF('Adquisición 4'!$Q$9&lt;=Estratégia!$U$6,0.5,0)+IF('Adquisición 4'!$S$9&gt;='Estrategia 1'!$U$6,0.5,0)</f>
        <v>0.5</v>
      </c>
      <c r="V13" s="94">
        <f>IF('Adquisición 4'!$Q$9&lt;=Estratégia!$V$6,0.5,0)+IF('Adquisición 4'!$S$9&gt;=Estratégia!$V$6,0.5,0)</f>
        <v>0.5</v>
      </c>
      <c r="W13" s="94">
        <f>IF('Adquisición 4'!$Q$9&lt;=Estratégia!$W$6,0.5,0)+IF('Adquisición 4'!$S$9&gt;=Estratégia!$W$6,0.5,0)</f>
        <v>0.5</v>
      </c>
      <c r="X13" s="94">
        <f>IF('Adquisición 4'!$Q$9&lt;=Estratégia!$X$6,0.5,0)+IF('Adquisición 4'!$S$9&gt;=Estratégia!$X$6,0.5,0)</f>
        <v>0.5</v>
      </c>
      <c r="Y13" s="94">
        <f>IF('Adquisición 4'!$Q$9&lt;=Estratégia!$Y$6,0.5,0)+IF('Adquisición 4'!$S$9&gt;=Estratégia!$Y$6,0.5,0)</f>
        <v>0.5</v>
      </c>
      <c r="Z13" s="79" t="str">
        <f ca="1">IF(OR(AA13&lt;&gt;"",'Adquisición 4'!$D$15="No Planificado"),'Adquisición 4'!$D$15,IF(AND(AA13="",MONTH(TODAY())&gt;'Adquisición 4'!$S$9),"Retrasado","A Tiempo"))</f>
        <v>Finalizado</v>
      </c>
      <c r="AA13" s="76" t="str">
        <f>IF('Adquisición 4'!$D$12="","",'Adquisición 4'!$D$12)</f>
        <v>Mais que cumpre</v>
      </c>
      <c r="AB13" s="77">
        <f>IF($AA13="Não cumpre",0,IF($AA13="Parcial",$E13*0.4,IF($AA13="Cumpre",$E13*0.7,IF($AA13="Mais que cumpre",$E13*0.85,IF($AA13="Melhor Prática",E13,0)))))</f>
        <v>8.5000000000000006E-3</v>
      </c>
      <c r="AC13" s="78">
        <f t="shared" si="2"/>
        <v>1</v>
      </c>
      <c r="AD13" s="103">
        <f>'Adquisición 4'!$F$12</f>
        <v>3</v>
      </c>
      <c r="AE13" s="103">
        <f>'Adquisición 4'!$G$12</f>
        <v>3</v>
      </c>
      <c r="AF13" s="103">
        <f>'Adquisición 4'!$H$12</f>
        <v>3</v>
      </c>
      <c r="AG13" s="103">
        <f>'Adquisición 4'!$I$12</f>
        <v>1</v>
      </c>
    </row>
    <row r="14" spans="1:33" ht="45.75" customHeight="1" x14ac:dyDescent="0.25">
      <c r="B14" s="115" t="s">
        <v>99</v>
      </c>
      <c r="C14" s="100" t="s">
        <v>88</v>
      </c>
      <c r="D14" s="71" t="s">
        <v>122</v>
      </c>
      <c r="E14" s="72">
        <v>5.0000000000000001E-3</v>
      </c>
      <c r="F14" s="76" t="str">
        <f>'Adquisición 5'!$D$7</f>
        <v>Cumpre</v>
      </c>
      <c r="G14" s="88">
        <f>IF($F14="Não cumpre",0,IF($F14="Parcial",$E14*0.4,IF($F14="Cumpre",$E14*0.7,IF($F14="Mais que cumpre",$E14*0.85,IF($F14="Melhor Prática",E14,0)))))</f>
        <v>3.4999999999999996E-3</v>
      </c>
      <c r="H14" s="103">
        <f>'Adquisición 5'!$F$7</f>
        <v>3</v>
      </c>
      <c r="I14" s="103">
        <f>'Adquisición 5'!$G$7</f>
        <v>3</v>
      </c>
      <c r="J14" s="103" t="str">
        <f>'Adquisición 5'!$H$7</f>
        <v/>
      </c>
      <c r="K14" s="103" t="str">
        <f>'Adquisición 5'!$I$7</f>
        <v/>
      </c>
      <c r="L14" s="76" t="str">
        <f>IF('Adquisición 5'!$D$10="","",'Adquisición 5'!$D$10)</f>
        <v>Mais que Cumpre</v>
      </c>
      <c r="M14" s="77">
        <f t="shared" si="0"/>
        <v>4.2500000000000003E-3</v>
      </c>
      <c r="N14" s="78">
        <f t="shared" si="1"/>
        <v>0.82352941176470573</v>
      </c>
      <c r="O14" s="103" t="str">
        <f>'Adquisición 5'!$F$10</f>
        <v>-</v>
      </c>
      <c r="P14" s="103" t="str">
        <f>'Adquisición 5'!$G$10</f>
        <v>-</v>
      </c>
      <c r="Q14" s="103" t="str">
        <f>'Adquisición 5'!$H$10</f>
        <v>-</v>
      </c>
      <c r="R14" s="103" t="str">
        <f>'Adquisición 5'!$I$10</f>
        <v>-</v>
      </c>
      <c r="S14" s="118">
        <f>IF('Adquisición 5'!$M$10="","",'Adquisición 5'!$M$10)</f>
        <v>3</v>
      </c>
      <c r="T14" s="104" t="str">
        <f>IF('Adquisición 5'!$O$10="","",'Adquisición 5'!$O$10)</f>
        <v>Baja</v>
      </c>
      <c r="U14" s="95">
        <f>IF('Adquisición 5'!$Q$9&lt;=Estratégia!$U$6,0.5,0)+IF('Adquisición 5'!$S$9&gt;='Estrategia 1'!$U$6,0.5,0)</f>
        <v>0.5</v>
      </c>
      <c r="V14" s="94">
        <f>IF('Adquisición 5'!$Q$9&lt;=Estratégia!$V$6,0.5,0)+IF('Adquisición 5'!$S$9&gt;=Estratégia!$V$6,0.5,0)</f>
        <v>0.5</v>
      </c>
      <c r="W14" s="94">
        <f>IF('Adquisición 5'!$Q$9&lt;=Estratégia!$W$6,0.5,0)+IF('Adquisición 5'!$S$9&gt;=Estratégia!$W$6,0.5,0)</f>
        <v>0.5</v>
      </c>
      <c r="X14" s="94">
        <f>IF('Adquisición 5'!$Q$9&lt;=Estratégia!$X$6,0.5,0)+IF('Adquisición 5'!$S$9&gt;=Estratégia!$X$6,0.5,0)</f>
        <v>0.5</v>
      </c>
      <c r="Y14" s="94">
        <f>IF('Adquisición 5'!$Q$9&lt;=Estratégia!$Y$6,0.5,0)+IF('Adquisición 5'!$S$9&gt;=Estratégia!$Y$6,0.5,0)</f>
        <v>0.5</v>
      </c>
      <c r="Z14" s="79" t="str">
        <f ca="1">IF(OR(AA14&lt;&gt;"",'Adquisición 5'!$D$15="No Planificado"),'Adquisición 5'!$D$15,IF(AND(AA14="",MONTH(TODAY())&gt;'Adquisición 5'!$S$9),"Retrasado","A Tiempo"))</f>
        <v>Finalizado</v>
      </c>
      <c r="AA14" s="76" t="str">
        <f>IF('Adquisición 5'!$D$12="","",'Adquisición 5'!$D$12)</f>
        <v>Melhor Prática</v>
      </c>
      <c r="AB14" s="77">
        <f>IF($AA14="Não cumpre",0,IF($AA14="Parcial",$E14*0.4,IF($AA14="Cumpre",$E14*0.7,IF($AA14="Mais que cumpre",$E14*0.85,IF($AA14="Melhor Prática",E14,0)))))</f>
        <v>5.0000000000000001E-3</v>
      </c>
      <c r="AC14" s="78">
        <f t="shared" si="2"/>
        <v>1.1764705882352942</v>
      </c>
      <c r="AD14" s="103">
        <f>'Adquisición 5'!$F$12</f>
        <v>3</v>
      </c>
      <c r="AE14" s="103">
        <f>'Adquisición 5'!$G$12</f>
        <v>3</v>
      </c>
      <c r="AF14" s="103">
        <f>'Adquisición 5'!$H$12</f>
        <v>3</v>
      </c>
      <c r="AG14" s="103">
        <f>'Adquisición 5'!$I$12</f>
        <v>3</v>
      </c>
    </row>
    <row r="15" spans="1:33" x14ac:dyDescent="0.25"/>
    <row r="16" spans="1:33" ht="11.25" customHeight="1" x14ac:dyDescent="0.25">
      <c r="B16" s="82"/>
      <c r="C16" s="246" t="s">
        <v>10</v>
      </c>
      <c r="D16" s="246"/>
      <c r="E16" s="247">
        <f>SUM(E10:E14)</f>
        <v>0.05</v>
      </c>
      <c r="F16" s="293"/>
      <c r="G16" s="250">
        <f>SUM(G10:G14)</f>
        <v>3.2500000000000001E-2</v>
      </c>
      <c r="H16" s="89"/>
      <c r="I16" s="89"/>
      <c r="J16" s="89"/>
      <c r="K16" s="89"/>
      <c r="L16" s="83"/>
      <c r="M16" s="252">
        <f>SUM(M10:M14)</f>
        <v>4.4749999999999998E-2</v>
      </c>
      <c r="N16" s="254">
        <f>IFERROR(G16/M16,"")</f>
        <v>0.72625698324022347</v>
      </c>
      <c r="O16" s="90"/>
      <c r="P16" s="90"/>
      <c r="Q16" s="90"/>
      <c r="R16" s="90"/>
      <c r="S16" s="90"/>
      <c r="T16" s="90"/>
      <c r="U16" s="90"/>
      <c r="V16" s="90"/>
      <c r="W16" s="90"/>
      <c r="X16" s="90"/>
      <c r="Y16" s="90"/>
      <c r="Z16" s="84"/>
      <c r="AA16" s="85"/>
      <c r="AB16" s="256">
        <f>SUM(AB10:AB14)</f>
        <v>4.5499999999999999E-2</v>
      </c>
      <c r="AC16" s="258">
        <f>IFERROR(M16/AB16,"")</f>
        <v>0.98351648351648346</v>
      </c>
      <c r="AD16" s="245"/>
      <c r="AE16" s="245"/>
      <c r="AF16" s="245"/>
      <c r="AG16" s="245"/>
    </row>
    <row r="17" spans="2:33" ht="24" x14ac:dyDescent="0.25">
      <c r="B17" s="82"/>
      <c r="C17" s="246"/>
      <c r="D17" s="246"/>
      <c r="E17" s="247"/>
      <c r="F17" s="294"/>
      <c r="G17" s="251"/>
      <c r="H17" s="89"/>
      <c r="I17" s="89"/>
      <c r="J17" s="89"/>
      <c r="K17" s="89"/>
      <c r="L17" s="86"/>
      <c r="M17" s="253"/>
      <c r="N17" s="255"/>
      <c r="O17" s="90"/>
      <c r="P17" s="90"/>
      <c r="Q17" s="90"/>
      <c r="R17" s="90"/>
      <c r="S17" s="90"/>
      <c r="T17" s="90"/>
      <c r="U17" s="90"/>
      <c r="V17" s="90"/>
      <c r="W17" s="90"/>
      <c r="X17" s="90"/>
      <c r="Y17" s="90"/>
      <c r="Z17" s="84"/>
      <c r="AA17" s="85"/>
      <c r="AB17" s="256"/>
      <c r="AC17" s="258"/>
      <c r="AD17" s="245"/>
      <c r="AE17" s="245"/>
      <c r="AF17" s="245"/>
      <c r="AG17" s="245"/>
    </row>
    <row r="18" spans="2:33" x14ac:dyDescent="0.25"/>
    <row r="19" spans="2:33" ht="15" customHeight="1" x14ac:dyDescent="0.25"/>
    <row r="20" spans="2:33" ht="15" customHeight="1" x14ac:dyDescent="0.25"/>
    <row r="21" spans="2:33" ht="15" customHeight="1" x14ac:dyDescent="0.25"/>
    <row r="22" spans="2:33" ht="15" customHeight="1" x14ac:dyDescent="0.25"/>
    <row r="23" spans="2:33" ht="15" customHeight="1" x14ac:dyDescent="0.25"/>
    <row r="24" spans="2:33" ht="15" customHeight="1" x14ac:dyDescent="0.25"/>
    <row r="25" spans="2:33" ht="15" customHeight="1" x14ac:dyDescent="0.25"/>
    <row r="26" spans="2:33" ht="15" customHeight="1" x14ac:dyDescent="0.25"/>
    <row r="27" spans="2:33" ht="15" customHeight="1" x14ac:dyDescent="0.25"/>
    <row r="28" spans="2:33" ht="15" customHeight="1" x14ac:dyDescent="0.25"/>
    <row r="29" spans="2:33" ht="15" customHeight="1" x14ac:dyDescent="0.25"/>
  </sheetData>
  <autoFilter ref="B9:AG9" xr:uid="{9F9AEB8D-0735-4382-A603-66D24260BC5C}"/>
  <dataConsolidate/>
  <mergeCells count="49">
    <mergeCell ref="B7:B8"/>
    <mergeCell ref="C7:C8"/>
    <mergeCell ref="D7:D8"/>
    <mergeCell ref="E7:E8"/>
    <mergeCell ref="F7:F8"/>
    <mergeCell ref="F3:AE3"/>
    <mergeCell ref="B5:D5"/>
    <mergeCell ref="F5:J5"/>
    <mergeCell ref="L5:M5"/>
    <mergeCell ref="Z5:AA5"/>
    <mergeCell ref="X7:X8"/>
    <mergeCell ref="S7:S8"/>
    <mergeCell ref="T7:T8"/>
    <mergeCell ref="U7:U8"/>
    <mergeCell ref="V7:V8"/>
    <mergeCell ref="W7:W8"/>
    <mergeCell ref="AE7:AE8"/>
    <mergeCell ref="AF7:AF8"/>
    <mergeCell ref="AG7:AG8"/>
    <mergeCell ref="Y7:Y8"/>
    <mergeCell ref="Z7:Z8"/>
    <mergeCell ref="AA7:AA8"/>
    <mergeCell ref="AB7:AB8"/>
    <mergeCell ref="AC7:AC8"/>
    <mergeCell ref="AD7:AD8"/>
    <mergeCell ref="C16:D17"/>
    <mergeCell ref="E16:E17"/>
    <mergeCell ref="F16:F17"/>
    <mergeCell ref="G16:G17"/>
    <mergeCell ref="M16:M17"/>
    <mergeCell ref="R7:R8"/>
    <mergeCell ref="G7:G8"/>
    <mergeCell ref="H7:H8"/>
    <mergeCell ref="I7:I8"/>
    <mergeCell ref="J7:J8"/>
    <mergeCell ref="O7:O8"/>
    <mergeCell ref="P7:P8"/>
    <mergeCell ref="Q7:Q8"/>
    <mergeCell ref="K7:K8"/>
    <mergeCell ref="L7:L8"/>
    <mergeCell ref="M7:M8"/>
    <mergeCell ref="N7:N8"/>
    <mergeCell ref="AG16:AG17"/>
    <mergeCell ref="N16:N17"/>
    <mergeCell ref="AB16:AB17"/>
    <mergeCell ref="AC16:AC17"/>
    <mergeCell ref="AD16:AD17"/>
    <mergeCell ref="AE16:AE17"/>
    <mergeCell ref="AF16:AF17"/>
  </mergeCells>
  <conditionalFormatting sqref="H10:K14">
    <cfRule type="iconSet" priority="7">
      <iconSet showValue="0">
        <cfvo type="percent" val="0"/>
        <cfvo type="num" val="2"/>
        <cfvo type="num" val="3"/>
      </iconSet>
    </cfRule>
  </conditionalFormatting>
  <conditionalFormatting sqref="N10:N14">
    <cfRule type="dataBar" priority="9">
      <dataBar showValue="0">
        <cfvo type="min"/>
        <cfvo type="max"/>
        <color rgb="FF63C384"/>
      </dataBar>
      <extLst>
        <ext xmlns:x14="http://schemas.microsoft.com/office/spreadsheetml/2009/9/main" uri="{B025F937-C7B1-47D3-B67F-A62EFF666E3E}">
          <x14:id>{47BA3883-5C5D-4F04-B446-8F31136B952F}</x14:id>
        </ext>
      </extLst>
    </cfRule>
  </conditionalFormatting>
  <conditionalFormatting sqref="O10:R14">
    <cfRule type="iconSet" priority="5">
      <iconSet showValue="0">
        <cfvo type="percent" val="0"/>
        <cfvo type="num" val="2"/>
        <cfvo type="num" val="3"/>
      </iconSet>
    </cfRule>
  </conditionalFormatting>
  <conditionalFormatting sqref="U10:Y14">
    <cfRule type="cellIs" dxfId="1038" priority="2" operator="equal">
      <formula>2</formula>
    </cfRule>
    <cfRule type="cellIs" dxfId="1037" priority="3" operator="equal">
      <formula>1</formula>
    </cfRule>
    <cfRule type="cellIs" dxfId="1036" priority="4" operator="equal">
      <formula>0</formula>
    </cfRule>
  </conditionalFormatting>
  <conditionalFormatting sqref="AC10:AC14">
    <cfRule type="dataBar" priority="8">
      <dataBar showValue="0">
        <cfvo type="min"/>
        <cfvo type="max"/>
        <color theme="6" tint="0.39997558519241921"/>
      </dataBar>
      <extLst>
        <ext xmlns:x14="http://schemas.microsoft.com/office/spreadsheetml/2009/9/main" uri="{B025F937-C7B1-47D3-B67F-A62EFF666E3E}">
          <x14:id>{449F14CF-D6FF-4964-900D-694529288E3E}</x14:id>
        </ext>
      </extLst>
    </cfRule>
  </conditionalFormatting>
  <conditionalFormatting sqref="AD10:AG14">
    <cfRule type="iconSet" priority="6">
      <iconSet showValue="0">
        <cfvo type="percent" val="0"/>
        <cfvo type="num" val="2"/>
        <cfvo type="num" val="3"/>
      </iconSet>
    </cfRule>
  </conditionalFormatting>
  <hyperlinks>
    <hyperlink ref="C10" location="'Adquisición 1'!A1" display="1." xr:uid="{4841E5B9-00EA-4CBB-933D-D19FDF191509}"/>
    <hyperlink ref="C11" location="'Adquisición 2'!A1" display="2." xr:uid="{6722DB81-85B6-47C6-B435-B98A0E7F26F5}"/>
    <hyperlink ref="C12" location="'Adquisición 3'!A1" display="3." xr:uid="{A4498A99-E2B9-4143-9958-AE184EBDF19D}"/>
    <hyperlink ref="C13" location="'Adquisición 4'!A1" display="4." xr:uid="{FE8EF7B9-EF24-4614-8B9B-5575E02BB1D7}"/>
    <hyperlink ref="D13" location="'Adquisición 4'!A1" display="TCO" xr:uid="{8DAEDF3E-E2A0-4166-9382-BE91869730B8}"/>
    <hyperlink ref="C14" location="'Adquisición 5'!A1" display="5." xr:uid="{B2D64C42-EA6B-4FA8-9FA4-EBEF393B0152}"/>
    <hyperlink ref="D10" location="'Adquisición 1'!A1" display="Plan de inversión" xr:uid="{4C2C1793-C948-45A0-AB1B-530C1459D06D}"/>
    <hyperlink ref="D11" location="'Adquisición 2'!A1" display="Gestión de llegadas y stock de equipos" xr:uid="{E015991A-01AD-47F4-9FD4-B1C899BF54DF}"/>
    <hyperlink ref="D12" location="'Adquisición 3'!A1" display="SLA de Proveedores" xr:uid="{D9C36724-5324-46F2-BE9E-47CE9673C889}"/>
    <hyperlink ref="D14" location="'Adquisición 5'!A1" display="Colaboración con CEPG" xr:uid="{ECA33E1A-7256-4B66-B8AA-2FE2A8F804A6}"/>
  </hyperlinks>
  <pageMargins left="0.511811024" right="0.511811024" top="0.78740157499999996" bottom="0.78740157499999996" header="0.31496062000000002" footer="0.31496062000000002"/>
  <drawing r:id="rId1"/>
  <extLst>
    <ext xmlns:x14="http://schemas.microsoft.com/office/spreadsheetml/2009/9/main" uri="{78C0D931-6437-407d-A8EE-F0AAD7539E65}">
      <x14:conditionalFormattings>
        <x14:conditionalFormatting xmlns:xm="http://schemas.microsoft.com/office/excel/2006/main">
          <x14:cfRule type="dataBar" id="{47BA3883-5C5D-4F04-B446-8F31136B952F}">
            <x14:dataBar minLength="0" maxLength="100">
              <x14:cfvo type="autoMin"/>
              <x14:cfvo type="autoMax"/>
              <x14:negativeFillColor rgb="FFFF0000"/>
              <x14:axisColor rgb="FF000000"/>
            </x14:dataBar>
          </x14:cfRule>
          <xm:sqref>N10:N14</xm:sqref>
        </x14:conditionalFormatting>
        <x14:conditionalFormatting xmlns:xm="http://schemas.microsoft.com/office/excel/2006/main">
          <x14:cfRule type="iconSet" priority="1" id="{7D98869C-BB64-466B-AB5D-FA44C1288ADE}">
            <x14:iconSet iconSet="3Stars" showValue="0">
              <x14:cfvo type="percent">
                <xm:f>0</xm:f>
              </x14:cfvo>
              <x14:cfvo type="num">
                <xm:f>2</xm:f>
              </x14:cfvo>
              <x14:cfvo type="num">
                <xm:f>3</xm:f>
              </x14:cfvo>
            </x14:iconSet>
          </x14:cfRule>
          <xm:sqref>S10:S14</xm:sqref>
        </x14:conditionalFormatting>
        <x14:conditionalFormatting xmlns:xm="http://schemas.microsoft.com/office/excel/2006/main">
          <x14:cfRule type="dataBar" id="{449F14CF-D6FF-4964-900D-694529288E3E}">
            <x14:dataBar minLength="0" maxLength="100">
              <x14:cfvo type="autoMin"/>
              <x14:cfvo type="autoMax"/>
              <x14:negativeFillColor rgb="FFFF0000"/>
              <x14:axisColor rgb="FF000000"/>
            </x14:dataBar>
          </x14:cfRule>
          <xm:sqref>AC10:AC14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f8206fe4-be4b-4a2a-b610-f1e01f4fde53" xsi:nil="true"/>
    <SharedWithUsers xmlns="e5bac579-a52c-4637-9e04-088674e7ef27">
      <UserInfo>
        <DisplayName/>
        <AccountId xsi:nil="true"/>
        <AccountType/>
      </UserInfo>
    </SharedWithUsers>
    <lcf76f155ced4ddcb4097134ff3c332f xmlns="f8206fe4-be4b-4a2a-b610-f1e01f4fde53">
      <Terms xmlns="http://schemas.microsoft.com/office/infopath/2007/PartnerControls"/>
    </lcf76f155ced4ddcb4097134ff3c332f>
    <TaxCatchAll xmlns="e5bac579-a52c-4637-9e04-088674e7ef2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0F278453E13854AAF26359EC407B6DC" ma:contentTypeVersion="17" ma:contentTypeDescription="Create a new document." ma:contentTypeScope="" ma:versionID="8d0840a9fbc33f52b9ce5fee440b222c">
  <xsd:schema xmlns:xsd="http://www.w3.org/2001/XMLSchema" xmlns:xs="http://www.w3.org/2001/XMLSchema" xmlns:p="http://schemas.microsoft.com/office/2006/metadata/properties" xmlns:ns2="f8206fe4-be4b-4a2a-b610-f1e01f4fde53" xmlns:ns3="e5bac579-a52c-4637-9e04-088674e7ef27" targetNamespace="http://schemas.microsoft.com/office/2006/metadata/properties" ma:root="true" ma:fieldsID="8f31f197f1e8c748ed456db7babfa139" ns2:_="" ns3:_="">
    <xsd:import namespace="f8206fe4-be4b-4a2a-b610-f1e01f4fde53"/>
    <xsd:import namespace="e5bac579-a52c-4637-9e04-088674e7ef2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06fe4-be4b-4a2a-b610-f1e01f4fde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Length (seconds)"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ced0fda-911f-482d-b0d5-dcfefa8965b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bac579-a52c-4637-9e04-088674e7ef2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27bc6c8-ef75-40af-982b-0f90f4da1457}" ma:internalName="TaxCatchAll" ma:showField="CatchAllData" ma:web="e5bac579-a52c-4637-9e04-088674e7ef27">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B44BCB-E3E0-4E3E-AA0F-DD73E6C6E61B}">
  <ds:schemaRefs>
    <ds:schemaRef ds:uri="http://schemas.microsoft.com/sharepoint/v3/contenttype/forms"/>
  </ds:schemaRefs>
</ds:datastoreItem>
</file>

<file path=customXml/itemProps2.xml><?xml version="1.0" encoding="utf-8"?>
<ds:datastoreItem xmlns:ds="http://schemas.openxmlformats.org/officeDocument/2006/customXml" ds:itemID="{70ADB9D3-FD9A-4B2D-BAD7-3BE5944FCE88}">
  <ds:schemaRefs>
    <ds:schemaRef ds:uri="http://purl.org/dc/dcmitype/"/>
    <ds:schemaRef ds:uri="f8206fe4-be4b-4a2a-b610-f1e01f4fde53"/>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e5bac579-a52c-4637-9e04-088674e7ef27"/>
    <ds:schemaRef ds:uri="http://schemas.microsoft.com/office/2006/metadata/properties"/>
  </ds:schemaRefs>
</ds:datastoreItem>
</file>

<file path=customXml/itemProps3.xml><?xml version="1.0" encoding="utf-8"?>
<ds:datastoreItem xmlns:ds="http://schemas.openxmlformats.org/officeDocument/2006/customXml" ds:itemID="{5FBB8AE5-DC3A-420A-A16F-948AA6C8DF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06fe4-be4b-4a2a-b610-f1e01f4fde53"/>
    <ds:schemaRef ds:uri="e5bac579-a52c-4637-9e04-088674e7ef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77</vt:i4>
      </vt:variant>
    </vt:vector>
  </HeadingPairs>
  <TitlesOfParts>
    <vt:vector size="77" baseType="lpstr">
      <vt:lpstr>Menu</vt:lpstr>
      <vt:lpstr>Analisis Items</vt:lpstr>
      <vt:lpstr>Calculos</vt:lpstr>
      <vt:lpstr>Cierre Diagnóstico</vt:lpstr>
      <vt:lpstr>Resumen Items</vt:lpstr>
      <vt:lpstr>Instruciones</vt:lpstr>
      <vt:lpstr>Exemplo ITEM</vt:lpstr>
      <vt:lpstr>Estratégia</vt:lpstr>
      <vt:lpstr>Adquisición</vt:lpstr>
      <vt:lpstr>Control</vt:lpstr>
      <vt:lpstr>Mercado</vt:lpstr>
      <vt:lpstr>Mantenimiento</vt:lpstr>
      <vt:lpstr>Descarte</vt:lpstr>
      <vt:lpstr>Estrategia 1</vt:lpstr>
      <vt:lpstr>Estrategia 2</vt:lpstr>
      <vt:lpstr>Estrategia 3</vt:lpstr>
      <vt:lpstr>Estrategia 4</vt:lpstr>
      <vt:lpstr>Estrategia 5</vt:lpstr>
      <vt:lpstr>Estrategia 6</vt:lpstr>
      <vt:lpstr>Estrategia 7</vt:lpstr>
      <vt:lpstr>Estrategia 8</vt:lpstr>
      <vt:lpstr>Estrategia 9</vt:lpstr>
      <vt:lpstr>Estrategia 10</vt:lpstr>
      <vt:lpstr>Estrategia 11</vt:lpstr>
      <vt:lpstr>Estrategia 12</vt:lpstr>
      <vt:lpstr>Estrategia 13</vt:lpstr>
      <vt:lpstr>Estrategia 14</vt:lpstr>
      <vt:lpstr>Estrategia 15</vt:lpstr>
      <vt:lpstr>Estrategia 16</vt:lpstr>
      <vt:lpstr>Adquisición 1</vt:lpstr>
      <vt:lpstr>Adquisición 2</vt:lpstr>
      <vt:lpstr>Adquisición 3</vt:lpstr>
      <vt:lpstr>Adquisición 4</vt:lpstr>
      <vt:lpstr>Adquisición 5</vt:lpstr>
      <vt:lpstr>Control 1</vt:lpstr>
      <vt:lpstr>Control 2</vt:lpstr>
      <vt:lpstr>Control 3</vt:lpstr>
      <vt:lpstr>Control 4</vt:lpstr>
      <vt:lpstr>Control 5</vt:lpstr>
      <vt:lpstr>Control 6</vt:lpstr>
      <vt:lpstr>Control 7</vt:lpstr>
      <vt:lpstr>Control 8</vt:lpstr>
      <vt:lpstr>Control 9</vt:lpstr>
      <vt:lpstr>Control 10</vt:lpstr>
      <vt:lpstr>Control 11</vt:lpstr>
      <vt:lpstr>Control 12</vt:lpstr>
      <vt:lpstr>Control 13</vt:lpstr>
      <vt:lpstr>Mercado 1</vt:lpstr>
      <vt:lpstr>Mercado 2</vt:lpstr>
      <vt:lpstr>Mercado 3</vt:lpstr>
      <vt:lpstr>Mercado 4</vt:lpstr>
      <vt:lpstr>Mercado 5</vt:lpstr>
      <vt:lpstr>Mercado 6</vt:lpstr>
      <vt:lpstr>Mercado 7</vt:lpstr>
      <vt:lpstr>Mercado 8</vt:lpstr>
      <vt:lpstr>Mercado 9</vt:lpstr>
      <vt:lpstr>Mercado 10</vt:lpstr>
      <vt:lpstr>Mercado 11</vt:lpstr>
      <vt:lpstr>Mercado 12</vt:lpstr>
      <vt:lpstr>Mercado 13</vt:lpstr>
      <vt:lpstr>Mercado 14</vt:lpstr>
      <vt:lpstr>Mercado 15</vt:lpstr>
      <vt:lpstr>Mantenimiento 1</vt:lpstr>
      <vt:lpstr>Mantenimiento 2</vt:lpstr>
      <vt:lpstr>Mantenimiento 3</vt:lpstr>
      <vt:lpstr>Mantenimiento 4</vt:lpstr>
      <vt:lpstr>Mantenimiento 5</vt:lpstr>
      <vt:lpstr>Mantenimiento 6</vt:lpstr>
      <vt:lpstr>Mantenimiento 7</vt:lpstr>
      <vt:lpstr>Mantenimiento 8</vt:lpstr>
      <vt:lpstr>Mantenimiento 9</vt:lpstr>
      <vt:lpstr>Mantenimiento 10</vt:lpstr>
      <vt:lpstr>Descarte 1</vt:lpstr>
      <vt:lpstr>Descarte 2</vt:lpstr>
      <vt:lpstr>Descarte 3</vt:lpstr>
      <vt:lpstr>Descarte 4</vt:lpstr>
      <vt:lpstr>Descarte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Jeaninne Santos</dc:creator>
  <cp:keywords/>
  <dc:description/>
  <cp:lastModifiedBy>Jeaninne Santos</cp:lastModifiedBy>
  <cp:revision/>
  <dcterms:created xsi:type="dcterms:W3CDTF">2022-05-05T18:27:58Z</dcterms:created>
  <dcterms:modified xsi:type="dcterms:W3CDTF">2023-12-07T19:30:14Z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0x010100A0F278453E13854AAF26359EC407B6DC</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